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7"/>
  <workbookPr/>
  <mc:AlternateContent xmlns:mc="http://schemas.openxmlformats.org/markup-compatibility/2006">
    <mc:Choice Requires="x15">
      <x15ac:absPath xmlns:x15ac="http://schemas.microsoft.com/office/spreadsheetml/2010/11/ac" url="/Users/luis/Desktop/"/>
    </mc:Choice>
  </mc:AlternateContent>
  <xr:revisionPtr revIDLastSave="0" documentId="8_{60437895-2D00-594F-81AD-26D3C6711A88}" xr6:coauthVersionLast="47" xr6:coauthVersionMax="47" xr10:uidLastSave="{00000000-0000-0000-0000-000000000000}"/>
  <bookViews>
    <workbookView xWindow="920" yWindow="460" windowWidth="27880" windowHeight="16180" tabRatio="500" activeTab="1" xr2:uid="{00000000-000D-0000-FFFF-FFFF00000000}"/>
  </bookViews>
  <sheets>
    <sheet name="Explotación LOW " sheetId="20" r:id="rId1"/>
    <sheet name="Explotación HIGH" sheetId="22" r:id="rId2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3" i="22" l="1"/>
  <c r="C4" i="22"/>
  <c r="C9" i="22"/>
  <c r="M9" i="22"/>
  <c r="M11" i="22"/>
  <c r="M13" i="22"/>
  <c r="M14" i="22"/>
  <c r="M15" i="22"/>
  <c r="C20" i="22"/>
  <c r="M20" i="22"/>
  <c r="M21" i="22"/>
  <c r="M22" i="22"/>
  <c r="M23" i="22"/>
  <c r="M24" i="22"/>
  <c r="M25" i="22"/>
  <c r="M26" i="22"/>
  <c r="M29" i="22"/>
  <c r="M30" i="22"/>
  <c r="M33" i="22"/>
  <c r="M34" i="22"/>
  <c r="E35" i="22"/>
  <c r="G35" i="22"/>
  <c r="I35" i="22"/>
  <c r="K35" i="22"/>
  <c r="M35" i="22"/>
  <c r="M36" i="22"/>
  <c r="M37" i="22"/>
  <c r="M38" i="22"/>
  <c r="E39" i="22"/>
  <c r="G39" i="22"/>
  <c r="I39" i="22"/>
  <c r="K39" i="22"/>
  <c r="M39" i="22"/>
  <c r="M40" i="22"/>
  <c r="M41" i="22"/>
  <c r="M42" i="22"/>
  <c r="M44" i="22"/>
  <c r="M47" i="22"/>
  <c r="M48" i="22"/>
  <c r="M49" i="22"/>
  <c r="M50" i="22"/>
  <c r="C54" i="22"/>
  <c r="W51" i="22"/>
  <c r="W9" i="22"/>
  <c r="W11" i="22"/>
  <c r="W13" i="22"/>
  <c r="W14" i="22"/>
  <c r="W15" i="22"/>
  <c r="W20" i="22"/>
  <c r="W21" i="22"/>
  <c r="W22" i="22"/>
  <c r="W23" i="22"/>
  <c r="W24" i="22"/>
  <c r="W25" i="22"/>
  <c r="W26" i="22"/>
  <c r="W29" i="22"/>
  <c r="W30" i="22"/>
  <c r="W33" i="22"/>
  <c r="W34" i="22"/>
  <c r="O35" i="22"/>
  <c r="Q35" i="22"/>
  <c r="S35" i="22"/>
  <c r="U35" i="22"/>
  <c r="W35" i="22"/>
  <c r="W36" i="22"/>
  <c r="W37" i="22"/>
  <c r="W38" i="22"/>
  <c r="O39" i="22"/>
  <c r="Q39" i="22"/>
  <c r="S39" i="22"/>
  <c r="U39" i="22"/>
  <c r="W39" i="22"/>
  <c r="W40" i="22"/>
  <c r="W41" i="22"/>
  <c r="W42" i="22"/>
  <c r="W44" i="22"/>
  <c r="W47" i="22"/>
  <c r="W48" i="22"/>
  <c r="W49" i="22"/>
  <c r="W50" i="22"/>
  <c r="U9" i="22"/>
  <c r="U11" i="22"/>
  <c r="U13" i="22"/>
  <c r="U14" i="22"/>
  <c r="U15" i="22"/>
  <c r="U20" i="22"/>
  <c r="U21" i="22"/>
  <c r="U22" i="22"/>
  <c r="U23" i="22"/>
  <c r="U24" i="22"/>
  <c r="U25" i="22"/>
  <c r="U26" i="22"/>
  <c r="U29" i="22"/>
  <c r="U30" i="22"/>
  <c r="U33" i="22"/>
  <c r="U34" i="22"/>
  <c r="U36" i="22"/>
  <c r="U37" i="22"/>
  <c r="U38" i="22"/>
  <c r="U40" i="22"/>
  <c r="U41" i="22"/>
  <c r="K42" i="22"/>
  <c r="U42" i="22"/>
  <c r="U44" i="22"/>
  <c r="U47" i="22"/>
  <c r="U48" i="22"/>
  <c r="U49" i="22"/>
  <c r="U50" i="22"/>
  <c r="E9" i="22"/>
  <c r="E11" i="22"/>
  <c r="E13" i="22"/>
  <c r="E14" i="22"/>
  <c r="E15" i="22"/>
  <c r="V50" i="22"/>
  <c r="S9" i="22"/>
  <c r="S11" i="22"/>
  <c r="S13" i="22"/>
  <c r="S14" i="22"/>
  <c r="S15" i="22"/>
  <c r="S20" i="22"/>
  <c r="S21" i="22"/>
  <c r="S22" i="22"/>
  <c r="S23" i="22"/>
  <c r="S24" i="22"/>
  <c r="S25" i="22"/>
  <c r="S26" i="22"/>
  <c r="S29" i="22"/>
  <c r="S30" i="22"/>
  <c r="S33" i="22"/>
  <c r="S34" i="22"/>
  <c r="S36" i="22"/>
  <c r="S37" i="22"/>
  <c r="S38" i="22"/>
  <c r="S40" i="22"/>
  <c r="S41" i="22"/>
  <c r="I42" i="22"/>
  <c r="S42" i="22"/>
  <c r="S44" i="22"/>
  <c r="S47" i="22"/>
  <c r="S48" i="22"/>
  <c r="S49" i="22"/>
  <c r="S50" i="22"/>
  <c r="T50" i="22"/>
  <c r="Q9" i="22"/>
  <c r="Q11" i="22"/>
  <c r="Q13" i="22"/>
  <c r="Q14" i="22"/>
  <c r="Q15" i="22"/>
  <c r="Q20" i="22"/>
  <c r="Q21" i="22"/>
  <c r="Q22" i="22"/>
  <c r="Q23" i="22"/>
  <c r="Q24" i="22"/>
  <c r="Q25" i="22"/>
  <c r="Q26" i="22"/>
  <c r="Q29" i="22"/>
  <c r="Q30" i="22"/>
  <c r="Q33" i="22"/>
  <c r="Q34" i="22"/>
  <c r="Q36" i="22"/>
  <c r="Q37" i="22"/>
  <c r="Q38" i="22"/>
  <c r="Q40" i="22"/>
  <c r="Q41" i="22"/>
  <c r="G42" i="22"/>
  <c r="Q42" i="22"/>
  <c r="Q44" i="22"/>
  <c r="Q47" i="22"/>
  <c r="Q48" i="22"/>
  <c r="Q49" i="22"/>
  <c r="Q50" i="22"/>
  <c r="R50" i="22"/>
  <c r="O9" i="22"/>
  <c r="O11" i="22"/>
  <c r="O13" i="22"/>
  <c r="O14" i="22"/>
  <c r="O15" i="22"/>
  <c r="O20" i="22"/>
  <c r="O21" i="22"/>
  <c r="O22" i="22"/>
  <c r="O23" i="22"/>
  <c r="O24" i="22"/>
  <c r="O25" i="22"/>
  <c r="O26" i="22"/>
  <c r="O29" i="22"/>
  <c r="O30" i="22"/>
  <c r="O33" i="22"/>
  <c r="O34" i="22"/>
  <c r="O36" i="22"/>
  <c r="O37" i="22"/>
  <c r="O38" i="22"/>
  <c r="O40" i="22"/>
  <c r="O41" i="22"/>
  <c r="E42" i="22"/>
  <c r="O42" i="22"/>
  <c r="O44" i="22"/>
  <c r="O47" i="22"/>
  <c r="O48" i="22"/>
  <c r="O49" i="22"/>
  <c r="O50" i="22"/>
  <c r="P50" i="22"/>
  <c r="N50" i="22"/>
  <c r="K9" i="22"/>
  <c r="K11" i="22"/>
  <c r="K13" i="22"/>
  <c r="K14" i="22"/>
  <c r="K15" i="22"/>
  <c r="K20" i="22"/>
  <c r="K21" i="22"/>
  <c r="K22" i="22"/>
  <c r="K23" i="22"/>
  <c r="K24" i="22"/>
  <c r="K25" i="22"/>
  <c r="K26" i="22"/>
  <c r="K29" i="22"/>
  <c r="K30" i="22"/>
  <c r="K33" i="22"/>
  <c r="K34" i="22"/>
  <c r="K36" i="22"/>
  <c r="K37" i="22"/>
  <c r="K38" i="22"/>
  <c r="K40" i="22"/>
  <c r="K41" i="22"/>
  <c r="K44" i="22"/>
  <c r="K47" i="22"/>
  <c r="K48" i="22"/>
  <c r="K49" i="22"/>
  <c r="K50" i="22"/>
  <c r="L50" i="22"/>
  <c r="I9" i="22"/>
  <c r="I11" i="22"/>
  <c r="I13" i="22"/>
  <c r="I14" i="22"/>
  <c r="I15" i="22"/>
  <c r="I20" i="22"/>
  <c r="I21" i="22"/>
  <c r="I22" i="22"/>
  <c r="I23" i="22"/>
  <c r="I24" i="22"/>
  <c r="I25" i="22"/>
  <c r="I26" i="22"/>
  <c r="I29" i="22"/>
  <c r="I30" i="22"/>
  <c r="I33" i="22"/>
  <c r="I34" i="22"/>
  <c r="I36" i="22"/>
  <c r="I37" i="22"/>
  <c r="I38" i="22"/>
  <c r="I40" i="22"/>
  <c r="I41" i="22"/>
  <c r="I44" i="22"/>
  <c r="I47" i="22"/>
  <c r="I48" i="22"/>
  <c r="I49" i="22"/>
  <c r="I50" i="22"/>
  <c r="J50" i="22"/>
  <c r="G9" i="22"/>
  <c r="G11" i="22"/>
  <c r="G13" i="22"/>
  <c r="G14" i="22"/>
  <c r="G15" i="22"/>
  <c r="G20" i="22"/>
  <c r="G21" i="22"/>
  <c r="G22" i="22"/>
  <c r="G23" i="22"/>
  <c r="G24" i="22"/>
  <c r="G25" i="22"/>
  <c r="G26" i="22"/>
  <c r="G29" i="22"/>
  <c r="G30" i="22"/>
  <c r="G33" i="22"/>
  <c r="G34" i="22"/>
  <c r="G36" i="22"/>
  <c r="G37" i="22"/>
  <c r="G38" i="22"/>
  <c r="G40" i="22"/>
  <c r="G41" i="22"/>
  <c r="G44" i="22"/>
  <c r="G47" i="22"/>
  <c r="G48" i="22"/>
  <c r="G49" i="22"/>
  <c r="G50" i="22"/>
  <c r="H50" i="22"/>
  <c r="E20" i="22"/>
  <c r="E21" i="22"/>
  <c r="E22" i="22"/>
  <c r="E23" i="22"/>
  <c r="E24" i="22"/>
  <c r="E25" i="22"/>
  <c r="E26" i="22"/>
  <c r="E29" i="22"/>
  <c r="E30" i="22"/>
  <c r="E33" i="22"/>
  <c r="E34" i="22"/>
  <c r="E36" i="22"/>
  <c r="E37" i="22"/>
  <c r="E38" i="22"/>
  <c r="E40" i="22"/>
  <c r="E41" i="22"/>
  <c r="E44" i="22"/>
  <c r="E47" i="22"/>
  <c r="E48" i="22"/>
  <c r="E49" i="22"/>
  <c r="E50" i="22"/>
  <c r="F50" i="22"/>
  <c r="V47" i="22"/>
  <c r="T47" i="22"/>
  <c r="R47" i="22"/>
  <c r="P47" i="22"/>
  <c r="N47" i="22"/>
  <c r="L47" i="22"/>
  <c r="J47" i="22"/>
  <c r="H47" i="22"/>
  <c r="F47" i="22"/>
  <c r="W45" i="22"/>
  <c r="U45" i="22"/>
  <c r="V45" i="22"/>
  <c r="S45" i="22"/>
  <c r="T45" i="22"/>
  <c r="Q45" i="22"/>
  <c r="R45" i="22"/>
  <c r="O45" i="22"/>
  <c r="P45" i="22"/>
  <c r="M45" i="22"/>
  <c r="N45" i="22"/>
  <c r="K45" i="22"/>
  <c r="L45" i="22"/>
  <c r="I45" i="22"/>
  <c r="J45" i="22"/>
  <c r="G45" i="22"/>
  <c r="H45" i="22"/>
  <c r="E45" i="22"/>
  <c r="F45" i="22"/>
  <c r="V44" i="22"/>
  <c r="T44" i="22"/>
  <c r="R44" i="22"/>
  <c r="P44" i="22"/>
  <c r="N44" i="22"/>
  <c r="L44" i="22"/>
  <c r="J44" i="22"/>
  <c r="H44" i="22"/>
  <c r="F44" i="22"/>
  <c r="V42" i="22"/>
  <c r="T42" i="22"/>
  <c r="R42" i="22"/>
  <c r="P42" i="22"/>
  <c r="N42" i="22"/>
  <c r="L42" i="22"/>
  <c r="J42" i="22"/>
  <c r="H42" i="22"/>
  <c r="F42" i="22"/>
  <c r="V41" i="22"/>
  <c r="T41" i="22"/>
  <c r="R41" i="22"/>
  <c r="P41" i="22"/>
  <c r="N41" i="22"/>
  <c r="L41" i="22"/>
  <c r="J41" i="22"/>
  <c r="H41" i="22"/>
  <c r="F41" i="22"/>
  <c r="V40" i="22"/>
  <c r="T40" i="22"/>
  <c r="R40" i="22"/>
  <c r="P40" i="22"/>
  <c r="N40" i="22"/>
  <c r="L40" i="22"/>
  <c r="J40" i="22"/>
  <c r="H40" i="22"/>
  <c r="F40" i="22"/>
  <c r="V39" i="22"/>
  <c r="T39" i="22"/>
  <c r="R39" i="22"/>
  <c r="P39" i="22"/>
  <c r="N39" i="22"/>
  <c r="L39" i="22"/>
  <c r="J39" i="22"/>
  <c r="H39" i="22"/>
  <c r="F39" i="22"/>
  <c r="V38" i="22"/>
  <c r="T38" i="22"/>
  <c r="R38" i="22"/>
  <c r="P38" i="22"/>
  <c r="N38" i="22"/>
  <c r="L38" i="22"/>
  <c r="J38" i="22"/>
  <c r="H38" i="22"/>
  <c r="F38" i="22"/>
  <c r="V37" i="22"/>
  <c r="T37" i="22"/>
  <c r="R37" i="22"/>
  <c r="P37" i="22"/>
  <c r="N37" i="22"/>
  <c r="L37" i="22"/>
  <c r="J37" i="22"/>
  <c r="H37" i="22"/>
  <c r="F37" i="22"/>
  <c r="V36" i="22"/>
  <c r="T36" i="22"/>
  <c r="R36" i="22"/>
  <c r="P36" i="22"/>
  <c r="N36" i="22"/>
  <c r="L36" i="22"/>
  <c r="J36" i="22"/>
  <c r="H36" i="22"/>
  <c r="F36" i="22"/>
  <c r="V35" i="22"/>
  <c r="T35" i="22"/>
  <c r="R35" i="22"/>
  <c r="P35" i="22"/>
  <c r="N35" i="22"/>
  <c r="L35" i="22"/>
  <c r="J35" i="22"/>
  <c r="H35" i="22"/>
  <c r="F35" i="22"/>
  <c r="V34" i="22"/>
  <c r="T34" i="22"/>
  <c r="R34" i="22"/>
  <c r="P34" i="22"/>
  <c r="N34" i="22"/>
  <c r="L34" i="22"/>
  <c r="J34" i="22"/>
  <c r="H34" i="22"/>
  <c r="F34" i="22"/>
  <c r="V33" i="22"/>
  <c r="T33" i="22"/>
  <c r="R33" i="22"/>
  <c r="P33" i="22"/>
  <c r="N33" i="22"/>
  <c r="L33" i="22"/>
  <c r="J33" i="22"/>
  <c r="H33" i="22"/>
  <c r="F33" i="22"/>
  <c r="V30" i="22"/>
  <c r="T30" i="22"/>
  <c r="R30" i="22"/>
  <c r="P30" i="22"/>
  <c r="N30" i="22"/>
  <c r="L30" i="22"/>
  <c r="J30" i="22"/>
  <c r="H30" i="22"/>
  <c r="F30" i="22"/>
  <c r="V29" i="22"/>
  <c r="T29" i="22"/>
  <c r="R29" i="22"/>
  <c r="P29" i="22"/>
  <c r="N29" i="22"/>
  <c r="L29" i="22"/>
  <c r="J29" i="22"/>
  <c r="H29" i="22"/>
  <c r="F29" i="22"/>
  <c r="V26" i="22"/>
  <c r="T26" i="22"/>
  <c r="R26" i="22"/>
  <c r="P26" i="22"/>
  <c r="N26" i="22"/>
  <c r="L26" i="22"/>
  <c r="J26" i="22"/>
  <c r="H26" i="22"/>
  <c r="F26" i="22"/>
  <c r="V25" i="22"/>
  <c r="T25" i="22"/>
  <c r="R25" i="22"/>
  <c r="P25" i="22"/>
  <c r="N25" i="22"/>
  <c r="L25" i="22"/>
  <c r="J25" i="22"/>
  <c r="H25" i="22"/>
  <c r="F25" i="22"/>
  <c r="V24" i="22"/>
  <c r="T24" i="22"/>
  <c r="R24" i="22"/>
  <c r="P24" i="22"/>
  <c r="N24" i="22"/>
  <c r="L24" i="22"/>
  <c r="J24" i="22"/>
  <c r="H24" i="22"/>
  <c r="F24" i="22"/>
  <c r="V23" i="22"/>
  <c r="T23" i="22"/>
  <c r="R23" i="22"/>
  <c r="P23" i="22"/>
  <c r="N23" i="22"/>
  <c r="L23" i="22"/>
  <c r="J23" i="22"/>
  <c r="H23" i="22"/>
  <c r="F23" i="22"/>
  <c r="V22" i="22"/>
  <c r="T22" i="22"/>
  <c r="R22" i="22"/>
  <c r="P22" i="22"/>
  <c r="N22" i="22"/>
  <c r="L22" i="22"/>
  <c r="J22" i="22"/>
  <c r="H22" i="22"/>
  <c r="F22" i="22"/>
  <c r="V21" i="22"/>
  <c r="T21" i="22"/>
  <c r="R21" i="22"/>
  <c r="P21" i="22"/>
  <c r="N21" i="22"/>
  <c r="L21" i="22"/>
  <c r="J21" i="22"/>
  <c r="H21" i="22"/>
  <c r="F21" i="22"/>
  <c r="V20" i="22"/>
  <c r="T20" i="22"/>
  <c r="R20" i="22"/>
  <c r="P20" i="22"/>
  <c r="N20" i="22"/>
  <c r="L20" i="22"/>
  <c r="J20" i="22"/>
  <c r="H20" i="22"/>
  <c r="F20" i="22"/>
  <c r="V11" i="22"/>
  <c r="V15" i="22"/>
  <c r="T11" i="22"/>
  <c r="T15" i="22"/>
  <c r="R11" i="22"/>
  <c r="R15" i="22"/>
  <c r="P11" i="22"/>
  <c r="P15" i="22"/>
  <c r="N11" i="22"/>
  <c r="N15" i="22"/>
  <c r="L11" i="22"/>
  <c r="L15" i="22"/>
  <c r="J11" i="22"/>
  <c r="J15" i="22"/>
  <c r="H11" i="22"/>
  <c r="H15" i="22"/>
  <c r="F11" i="22"/>
  <c r="F15" i="22"/>
  <c r="W12" i="22"/>
  <c r="U12" i="22"/>
  <c r="V12" i="22"/>
  <c r="S12" i="22"/>
  <c r="T12" i="22"/>
  <c r="Q12" i="22"/>
  <c r="R12" i="22"/>
  <c r="O12" i="22"/>
  <c r="P12" i="22"/>
  <c r="M12" i="22"/>
  <c r="N12" i="22"/>
  <c r="K12" i="22"/>
  <c r="L12" i="22"/>
  <c r="I12" i="22"/>
  <c r="J12" i="22"/>
  <c r="G12" i="22"/>
  <c r="H12" i="22"/>
  <c r="E12" i="22"/>
  <c r="F12" i="22"/>
  <c r="C54" i="20"/>
  <c r="C53" i="20"/>
  <c r="C4" i="20"/>
  <c r="C9" i="20"/>
  <c r="E9" i="20"/>
  <c r="E13" i="20"/>
  <c r="E11" i="20"/>
  <c r="E14" i="20"/>
  <c r="E15" i="20"/>
  <c r="C20" i="20"/>
  <c r="E20" i="20"/>
  <c r="E21" i="20"/>
  <c r="E22" i="20"/>
  <c r="E23" i="20"/>
  <c r="E24" i="20"/>
  <c r="E25" i="20"/>
  <c r="E29" i="20"/>
  <c r="E30" i="20"/>
  <c r="E26" i="20"/>
  <c r="E33" i="20"/>
  <c r="E34" i="20"/>
  <c r="E35" i="20"/>
  <c r="E36" i="20"/>
  <c r="E37" i="20"/>
  <c r="E38" i="20"/>
  <c r="E39" i="20"/>
  <c r="E40" i="20"/>
  <c r="E41" i="20"/>
  <c r="E42" i="20"/>
  <c r="E44" i="20"/>
  <c r="E47" i="20"/>
  <c r="E48" i="20"/>
  <c r="E49" i="20"/>
  <c r="E50" i="20"/>
  <c r="G9" i="20"/>
  <c r="G11" i="20"/>
  <c r="G13" i="20"/>
  <c r="G14" i="20"/>
  <c r="G15" i="20"/>
  <c r="G20" i="20"/>
  <c r="G21" i="20"/>
  <c r="G22" i="20"/>
  <c r="G23" i="20"/>
  <c r="G24" i="20"/>
  <c r="G25" i="20"/>
  <c r="G29" i="20"/>
  <c r="G30" i="20"/>
  <c r="G26" i="20"/>
  <c r="G33" i="20"/>
  <c r="G34" i="20"/>
  <c r="G35" i="20"/>
  <c r="G36" i="20"/>
  <c r="G37" i="20"/>
  <c r="G38" i="20"/>
  <c r="G39" i="20"/>
  <c r="G40" i="20"/>
  <c r="G41" i="20"/>
  <c r="G42" i="20"/>
  <c r="G44" i="20"/>
  <c r="G47" i="20"/>
  <c r="G48" i="20"/>
  <c r="G49" i="20"/>
  <c r="G50" i="20"/>
  <c r="I9" i="20"/>
  <c r="I11" i="20"/>
  <c r="I13" i="20"/>
  <c r="I14" i="20"/>
  <c r="I15" i="20"/>
  <c r="I20" i="20"/>
  <c r="I21" i="20"/>
  <c r="I22" i="20"/>
  <c r="I23" i="20"/>
  <c r="I24" i="20"/>
  <c r="I25" i="20"/>
  <c r="I29" i="20"/>
  <c r="I30" i="20"/>
  <c r="I26" i="20"/>
  <c r="I33" i="20"/>
  <c r="I34" i="20"/>
  <c r="I35" i="20"/>
  <c r="I36" i="20"/>
  <c r="I37" i="20"/>
  <c r="I38" i="20"/>
  <c r="I39" i="20"/>
  <c r="I40" i="20"/>
  <c r="I41" i="20"/>
  <c r="I42" i="20"/>
  <c r="I44" i="20"/>
  <c r="I47" i="20"/>
  <c r="I48" i="20"/>
  <c r="I49" i="20"/>
  <c r="I50" i="20"/>
  <c r="K9" i="20"/>
  <c r="K11" i="20"/>
  <c r="K13" i="20"/>
  <c r="K14" i="20"/>
  <c r="K15" i="20"/>
  <c r="K20" i="20"/>
  <c r="K21" i="20"/>
  <c r="K22" i="20"/>
  <c r="K23" i="20"/>
  <c r="K24" i="20"/>
  <c r="K25" i="20"/>
  <c r="K29" i="20"/>
  <c r="K30" i="20"/>
  <c r="K26" i="20"/>
  <c r="K33" i="20"/>
  <c r="K34" i="20"/>
  <c r="K35" i="20"/>
  <c r="K36" i="20"/>
  <c r="K37" i="20"/>
  <c r="K38" i="20"/>
  <c r="K39" i="20"/>
  <c r="K40" i="20"/>
  <c r="K41" i="20"/>
  <c r="K42" i="20"/>
  <c r="K44" i="20"/>
  <c r="K47" i="20"/>
  <c r="K48" i="20"/>
  <c r="K49" i="20"/>
  <c r="K50" i="20"/>
  <c r="M9" i="20"/>
  <c r="M11" i="20"/>
  <c r="M13" i="20"/>
  <c r="M14" i="20"/>
  <c r="M15" i="20"/>
  <c r="M20" i="20"/>
  <c r="M21" i="20"/>
  <c r="M22" i="20"/>
  <c r="M23" i="20"/>
  <c r="M24" i="20"/>
  <c r="M25" i="20"/>
  <c r="M29" i="20"/>
  <c r="M30" i="20"/>
  <c r="M26" i="20"/>
  <c r="M33" i="20"/>
  <c r="M34" i="20"/>
  <c r="M35" i="20"/>
  <c r="M36" i="20"/>
  <c r="M37" i="20"/>
  <c r="M38" i="20"/>
  <c r="M39" i="20"/>
  <c r="M40" i="20"/>
  <c r="M41" i="20"/>
  <c r="M42" i="20"/>
  <c r="M44" i="20"/>
  <c r="M47" i="20"/>
  <c r="M48" i="20"/>
  <c r="M49" i="20"/>
  <c r="M50" i="20"/>
  <c r="O9" i="20"/>
  <c r="O11" i="20"/>
  <c r="O13" i="20"/>
  <c r="O14" i="20"/>
  <c r="O15" i="20"/>
  <c r="O20" i="20"/>
  <c r="O21" i="20"/>
  <c r="O22" i="20"/>
  <c r="O23" i="20"/>
  <c r="O24" i="20"/>
  <c r="O25" i="20"/>
  <c r="O29" i="20"/>
  <c r="O30" i="20"/>
  <c r="O26" i="20"/>
  <c r="O33" i="20"/>
  <c r="O34" i="20"/>
  <c r="O35" i="20"/>
  <c r="O36" i="20"/>
  <c r="O37" i="20"/>
  <c r="O38" i="20"/>
  <c r="O39" i="20"/>
  <c r="O40" i="20"/>
  <c r="O41" i="20"/>
  <c r="O42" i="20"/>
  <c r="O44" i="20"/>
  <c r="O47" i="20"/>
  <c r="O48" i="20"/>
  <c r="O49" i="20"/>
  <c r="O50" i="20"/>
  <c r="Q9" i="20"/>
  <c r="Q11" i="20"/>
  <c r="Q13" i="20"/>
  <c r="Q14" i="20"/>
  <c r="Q15" i="20"/>
  <c r="Q20" i="20"/>
  <c r="Q21" i="20"/>
  <c r="Q22" i="20"/>
  <c r="Q23" i="20"/>
  <c r="Q24" i="20"/>
  <c r="Q25" i="20"/>
  <c r="Q29" i="20"/>
  <c r="Q30" i="20"/>
  <c r="Q26" i="20"/>
  <c r="Q33" i="20"/>
  <c r="Q34" i="20"/>
  <c r="Q35" i="20"/>
  <c r="Q36" i="20"/>
  <c r="Q37" i="20"/>
  <c r="Q38" i="20"/>
  <c r="Q39" i="20"/>
  <c r="Q40" i="20"/>
  <c r="Q41" i="20"/>
  <c r="Q42" i="20"/>
  <c r="Q44" i="20"/>
  <c r="Q47" i="20"/>
  <c r="Q48" i="20"/>
  <c r="Q49" i="20"/>
  <c r="Q50" i="20"/>
  <c r="S9" i="20"/>
  <c r="S11" i="20"/>
  <c r="S13" i="20"/>
  <c r="S14" i="20"/>
  <c r="S15" i="20"/>
  <c r="S20" i="20"/>
  <c r="S21" i="20"/>
  <c r="S22" i="20"/>
  <c r="S23" i="20"/>
  <c r="S24" i="20"/>
  <c r="S25" i="20"/>
  <c r="S29" i="20"/>
  <c r="S30" i="20"/>
  <c r="S26" i="20"/>
  <c r="S33" i="20"/>
  <c r="S34" i="20"/>
  <c r="S35" i="20"/>
  <c r="S36" i="20"/>
  <c r="S37" i="20"/>
  <c r="S38" i="20"/>
  <c r="S39" i="20"/>
  <c r="S40" i="20"/>
  <c r="S41" i="20"/>
  <c r="S42" i="20"/>
  <c r="S44" i="20"/>
  <c r="S47" i="20"/>
  <c r="S48" i="20"/>
  <c r="S49" i="20"/>
  <c r="S50" i="20"/>
  <c r="U9" i="20"/>
  <c r="U11" i="20"/>
  <c r="U13" i="20"/>
  <c r="U14" i="20"/>
  <c r="U15" i="20"/>
  <c r="U20" i="20"/>
  <c r="U21" i="20"/>
  <c r="U22" i="20"/>
  <c r="U23" i="20"/>
  <c r="U24" i="20"/>
  <c r="U25" i="20"/>
  <c r="U29" i="20"/>
  <c r="U30" i="20"/>
  <c r="U26" i="20"/>
  <c r="U33" i="20"/>
  <c r="U34" i="20"/>
  <c r="U35" i="20"/>
  <c r="U36" i="20"/>
  <c r="U37" i="20"/>
  <c r="U38" i="20"/>
  <c r="U39" i="20"/>
  <c r="U40" i="20"/>
  <c r="U41" i="20"/>
  <c r="U42" i="20"/>
  <c r="U44" i="20"/>
  <c r="U47" i="20"/>
  <c r="U48" i="20"/>
  <c r="U49" i="20"/>
  <c r="U50" i="20"/>
  <c r="W51" i="20"/>
  <c r="E45" i="20"/>
  <c r="W35" i="20"/>
  <c r="W9" i="20"/>
  <c r="W11" i="20"/>
  <c r="W20" i="20"/>
  <c r="W21" i="20"/>
  <c r="W22" i="20"/>
  <c r="W23" i="20"/>
  <c r="W24" i="20"/>
  <c r="W13" i="20"/>
  <c r="W25" i="20"/>
  <c r="W29" i="20"/>
  <c r="W30" i="20"/>
  <c r="W14" i="20"/>
  <c r="W26" i="20"/>
  <c r="W33" i="20"/>
  <c r="W34" i="20"/>
  <c r="W36" i="20"/>
  <c r="W37" i="20"/>
  <c r="W38" i="20"/>
  <c r="W39" i="20"/>
  <c r="W40" i="20"/>
  <c r="W41" i="20"/>
  <c r="W42" i="20"/>
  <c r="W44" i="20"/>
  <c r="W15" i="20"/>
  <c r="W47" i="20"/>
  <c r="W49" i="20"/>
  <c r="W48" i="20"/>
  <c r="I45" i="20"/>
  <c r="G45" i="20"/>
  <c r="W50" i="20"/>
  <c r="E12" i="20"/>
  <c r="V50" i="20"/>
  <c r="T50" i="20"/>
  <c r="R50" i="20"/>
  <c r="P50" i="20"/>
  <c r="N50" i="20"/>
  <c r="L50" i="20"/>
  <c r="J50" i="20"/>
  <c r="H50" i="20"/>
  <c r="F50" i="20"/>
  <c r="V47" i="20"/>
  <c r="T47" i="20"/>
  <c r="R47" i="20"/>
  <c r="P47" i="20"/>
  <c r="N47" i="20"/>
  <c r="L47" i="20"/>
  <c r="J47" i="20"/>
  <c r="H47" i="20"/>
  <c r="F47" i="20"/>
  <c r="W45" i="20"/>
  <c r="U45" i="20"/>
  <c r="V45" i="20"/>
  <c r="S45" i="20"/>
  <c r="T45" i="20"/>
  <c r="Q45" i="20"/>
  <c r="R45" i="20"/>
  <c r="O45" i="20"/>
  <c r="P45" i="20"/>
  <c r="M45" i="20"/>
  <c r="N45" i="20"/>
  <c r="K45" i="20"/>
  <c r="L45" i="20"/>
  <c r="J45" i="20"/>
  <c r="H45" i="20"/>
  <c r="F45" i="20"/>
  <c r="V44" i="20"/>
  <c r="T44" i="20"/>
  <c r="R44" i="20"/>
  <c r="P44" i="20"/>
  <c r="N44" i="20"/>
  <c r="L44" i="20"/>
  <c r="J44" i="20"/>
  <c r="H44" i="20"/>
  <c r="F44" i="20"/>
  <c r="V42" i="20"/>
  <c r="T42" i="20"/>
  <c r="R42" i="20"/>
  <c r="P42" i="20"/>
  <c r="N42" i="20"/>
  <c r="L42" i="20"/>
  <c r="J42" i="20"/>
  <c r="H42" i="20"/>
  <c r="F42" i="20"/>
  <c r="V41" i="20"/>
  <c r="T41" i="20"/>
  <c r="R41" i="20"/>
  <c r="P41" i="20"/>
  <c r="N41" i="20"/>
  <c r="L41" i="20"/>
  <c r="J41" i="20"/>
  <c r="H41" i="20"/>
  <c r="F41" i="20"/>
  <c r="V40" i="20"/>
  <c r="T40" i="20"/>
  <c r="R40" i="20"/>
  <c r="P40" i="20"/>
  <c r="N40" i="20"/>
  <c r="L40" i="20"/>
  <c r="J40" i="20"/>
  <c r="H40" i="20"/>
  <c r="F40" i="20"/>
  <c r="V39" i="20"/>
  <c r="T39" i="20"/>
  <c r="R39" i="20"/>
  <c r="P39" i="20"/>
  <c r="N39" i="20"/>
  <c r="L39" i="20"/>
  <c r="J39" i="20"/>
  <c r="H39" i="20"/>
  <c r="F39" i="20"/>
  <c r="V38" i="20"/>
  <c r="T38" i="20"/>
  <c r="R38" i="20"/>
  <c r="P38" i="20"/>
  <c r="N38" i="20"/>
  <c r="L38" i="20"/>
  <c r="J38" i="20"/>
  <c r="H38" i="20"/>
  <c r="F38" i="20"/>
  <c r="V37" i="20"/>
  <c r="T37" i="20"/>
  <c r="R37" i="20"/>
  <c r="P37" i="20"/>
  <c r="N37" i="20"/>
  <c r="L37" i="20"/>
  <c r="J37" i="20"/>
  <c r="H37" i="20"/>
  <c r="F37" i="20"/>
  <c r="V36" i="20"/>
  <c r="T36" i="20"/>
  <c r="R36" i="20"/>
  <c r="P36" i="20"/>
  <c r="N36" i="20"/>
  <c r="L36" i="20"/>
  <c r="J36" i="20"/>
  <c r="H36" i="20"/>
  <c r="F36" i="20"/>
  <c r="V35" i="20"/>
  <c r="T35" i="20"/>
  <c r="R35" i="20"/>
  <c r="P35" i="20"/>
  <c r="N35" i="20"/>
  <c r="L35" i="20"/>
  <c r="J35" i="20"/>
  <c r="H35" i="20"/>
  <c r="F35" i="20"/>
  <c r="V34" i="20"/>
  <c r="T34" i="20"/>
  <c r="R34" i="20"/>
  <c r="P34" i="20"/>
  <c r="N34" i="20"/>
  <c r="L34" i="20"/>
  <c r="J34" i="20"/>
  <c r="H34" i="20"/>
  <c r="F34" i="20"/>
  <c r="V33" i="20"/>
  <c r="T33" i="20"/>
  <c r="R33" i="20"/>
  <c r="P33" i="20"/>
  <c r="N33" i="20"/>
  <c r="L33" i="20"/>
  <c r="J33" i="20"/>
  <c r="H33" i="20"/>
  <c r="F33" i="20"/>
  <c r="V30" i="20"/>
  <c r="T30" i="20"/>
  <c r="R30" i="20"/>
  <c r="P30" i="20"/>
  <c r="N30" i="20"/>
  <c r="L30" i="20"/>
  <c r="J30" i="20"/>
  <c r="H30" i="20"/>
  <c r="F30" i="20"/>
  <c r="V29" i="20"/>
  <c r="T29" i="20"/>
  <c r="R29" i="20"/>
  <c r="P29" i="20"/>
  <c r="N29" i="20"/>
  <c r="L29" i="20"/>
  <c r="J29" i="20"/>
  <c r="H29" i="20"/>
  <c r="F29" i="20"/>
  <c r="V26" i="20"/>
  <c r="T26" i="20"/>
  <c r="R26" i="20"/>
  <c r="P26" i="20"/>
  <c r="N26" i="20"/>
  <c r="L26" i="20"/>
  <c r="J26" i="20"/>
  <c r="H26" i="20"/>
  <c r="F26" i="20"/>
  <c r="V25" i="20"/>
  <c r="T25" i="20"/>
  <c r="R25" i="20"/>
  <c r="P25" i="20"/>
  <c r="N25" i="20"/>
  <c r="L25" i="20"/>
  <c r="J25" i="20"/>
  <c r="H25" i="20"/>
  <c r="F25" i="20"/>
  <c r="V24" i="20"/>
  <c r="T24" i="20"/>
  <c r="R24" i="20"/>
  <c r="P24" i="20"/>
  <c r="N24" i="20"/>
  <c r="L24" i="20"/>
  <c r="J24" i="20"/>
  <c r="H24" i="20"/>
  <c r="F24" i="20"/>
  <c r="V23" i="20"/>
  <c r="T23" i="20"/>
  <c r="R23" i="20"/>
  <c r="P23" i="20"/>
  <c r="N23" i="20"/>
  <c r="L23" i="20"/>
  <c r="J23" i="20"/>
  <c r="H23" i="20"/>
  <c r="F23" i="20"/>
  <c r="V22" i="20"/>
  <c r="T22" i="20"/>
  <c r="R22" i="20"/>
  <c r="P22" i="20"/>
  <c r="N22" i="20"/>
  <c r="L22" i="20"/>
  <c r="J22" i="20"/>
  <c r="H22" i="20"/>
  <c r="F22" i="20"/>
  <c r="V21" i="20"/>
  <c r="T21" i="20"/>
  <c r="R21" i="20"/>
  <c r="P21" i="20"/>
  <c r="N21" i="20"/>
  <c r="L21" i="20"/>
  <c r="J21" i="20"/>
  <c r="H21" i="20"/>
  <c r="F21" i="20"/>
  <c r="V20" i="20"/>
  <c r="T20" i="20"/>
  <c r="R20" i="20"/>
  <c r="P20" i="20"/>
  <c r="N20" i="20"/>
  <c r="L20" i="20"/>
  <c r="J20" i="20"/>
  <c r="H20" i="20"/>
  <c r="F20" i="20"/>
  <c r="V11" i="20"/>
  <c r="V15" i="20"/>
  <c r="T11" i="20"/>
  <c r="T15" i="20"/>
  <c r="R11" i="20"/>
  <c r="R15" i="20"/>
  <c r="P11" i="20"/>
  <c r="P15" i="20"/>
  <c r="N11" i="20"/>
  <c r="N15" i="20"/>
  <c r="L11" i="20"/>
  <c r="L15" i="20"/>
  <c r="J11" i="20"/>
  <c r="J15" i="20"/>
  <c r="H11" i="20"/>
  <c r="H15" i="20"/>
  <c r="F11" i="20"/>
  <c r="F15" i="20"/>
  <c r="W12" i="20"/>
  <c r="U12" i="20"/>
  <c r="V12" i="20"/>
  <c r="S12" i="20"/>
  <c r="T12" i="20"/>
  <c r="Q12" i="20"/>
  <c r="R12" i="20"/>
  <c r="O12" i="20"/>
  <c r="P12" i="20"/>
  <c r="M12" i="20"/>
  <c r="N12" i="20"/>
  <c r="K12" i="20"/>
  <c r="L12" i="20"/>
  <c r="I12" i="20"/>
  <c r="J12" i="20"/>
  <c r="G12" i="20"/>
  <c r="H12" i="20"/>
  <c r="F1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tc={F16EE9C7-5113-7043-8422-2AF938203E9D}</author>
    <author>tc={ECCE6588-68D0-7142-BC38-71E74A51D8E0}</author>
  </authors>
  <commentList>
    <comment ref="E14" authorId="0" shapeId="0" xr:uid="{F16EE9C7-5113-7043-8422-2AF938203E9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25 al ano a $5000 por evento </t>
      </text>
    </comment>
    <comment ref="B33" authorId="1" shapeId="0" xr:uid="{ECCE6588-68D0-7142-BC38-71E74A51D8E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 estima un incremento anualmente que no esta calculado en este modelo.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tc={E92C82E2-0DC1-484B-BC6B-1305E4F3A8DE}</author>
    <author>tc={53AAFCD1-6CA7-3C4B-8A8F-EA33FC5FC04C}</author>
  </authors>
  <commentList>
    <comment ref="E14" authorId="0" shapeId="0" xr:uid="{E92C82E2-0DC1-484B-BC6B-1305E4F3A8D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25 al ano a $5000 por evento </t>
      </text>
    </comment>
    <comment ref="B33" authorId="1" shapeId="0" xr:uid="{53AAFCD1-6CA7-3C4B-8A8F-EA33FC5FC04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 estima un incremento anualmente que no esta calculado en este modelo. </t>
      </text>
    </comment>
  </commentList>
</comments>
</file>

<file path=xl/sharedStrings.xml><?xml version="1.0" encoding="utf-8"?>
<sst xmlns="http://schemas.openxmlformats.org/spreadsheetml/2006/main" count="134" uniqueCount="58">
  <si>
    <t>PERSONAL</t>
  </si>
  <si>
    <t>SEGURO</t>
  </si>
  <si>
    <t>INGRESOS</t>
  </si>
  <si>
    <t>HABITACIONES</t>
  </si>
  <si>
    <t>DIAS</t>
  </si>
  <si>
    <t>TOTAL HABITACIONES ANUALES</t>
  </si>
  <si>
    <t>OCUPACIÓN</t>
  </si>
  <si>
    <t>HABITACIONES ANUALES</t>
  </si>
  <si>
    <t>PRECIO MEDIO sin IVA</t>
  </si>
  <si>
    <t>AÑO 1</t>
  </si>
  <si>
    <t>AÑO 2</t>
  </si>
  <si>
    <t>AÑO 3</t>
  </si>
  <si>
    <t>AÑO 4</t>
  </si>
  <si>
    <t>AÑO 5</t>
  </si>
  <si>
    <t>VENTAS hab</t>
  </si>
  <si>
    <t>VENTAS NETAS hab</t>
  </si>
  <si>
    <t>ADMINISTRACION Y ASESORIA mensual</t>
  </si>
  <si>
    <t>PREVENCION RIESGOS LABORALES mensual</t>
  </si>
  <si>
    <t>TLF E INTERNET mensual</t>
  </si>
  <si>
    <t>GTOS BANCARIOS mensual</t>
  </si>
  <si>
    <t>AGUA hab</t>
  </si>
  <si>
    <t>LUZ hab</t>
  </si>
  <si>
    <t>LAVANDERIA Y LIMPIEZA hab</t>
  </si>
  <si>
    <t>MANTENIMIENTO hab</t>
  </si>
  <si>
    <t>GASTOS Restauración</t>
  </si>
  <si>
    <t>COMISIÓN VENTAS 15% del 50%</t>
  </si>
  <si>
    <t>EBITDA</t>
  </si>
  <si>
    <t>Total ventas</t>
  </si>
  <si>
    <t>Bº Neto</t>
  </si>
  <si>
    <t>Ventas Eventos</t>
  </si>
  <si>
    <t>GASTOS Eventos</t>
  </si>
  <si>
    <t>GERENCIA</t>
  </si>
  <si>
    <t>ASCENSOR MENSUAL</t>
  </si>
  <si>
    <t xml:space="preserve">COSTOS </t>
  </si>
  <si>
    <t>COSTOS DE EXPLOTACIÓN</t>
  </si>
  <si>
    <t>COSTO DE MARKETING Y VENTAS</t>
  </si>
  <si>
    <t>COSTOS FIJOS</t>
  </si>
  <si>
    <t>TOTAL COSTOS</t>
  </si>
  <si>
    <t>TOTAL COSTOS mensual</t>
  </si>
  <si>
    <t>FORMACIÓN, INSPECCIONES, AUDITORIAS</t>
  </si>
  <si>
    <t xml:space="preserve">Marketing Fee WHG </t>
  </si>
  <si>
    <t>Royalty WHG</t>
  </si>
  <si>
    <t>Ventas restauración - Food and Beverage</t>
  </si>
  <si>
    <t>OPERADORA</t>
  </si>
  <si>
    <t>AÑO 6</t>
  </si>
  <si>
    <t>AÑO 7</t>
  </si>
  <si>
    <t>AÑO 8</t>
  </si>
  <si>
    <t>AÑO 9</t>
  </si>
  <si>
    <t>AÑO 10</t>
  </si>
  <si>
    <t>OPERADORA INCENTIVO</t>
  </si>
  <si>
    <t xml:space="preserve">$15 por hab/noche </t>
  </si>
  <si>
    <t xml:space="preserve">MERCADEO </t>
  </si>
  <si>
    <t xml:space="preserve">Construction 120 * 60K </t>
  </si>
  <si>
    <t xml:space="preserve">Repayment </t>
  </si>
  <si>
    <t xml:space="preserve">5 Years </t>
  </si>
  <si>
    <t xml:space="preserve">Re Sale Value Year 5 / 5X Year 5 NOI </t>
  </si>
  <si>
    <t xml:space="preserve">Net Profit </t>
  </si>
  <si>
    <t xml:space="preserve">3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</si>
</sst>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[$$-409]* #,##0.00_ ;_-[$$-409]* \-#,##0.00\ ;_-[$$-409]* &quot;-&quot;??_ ;_-@_ "/>
    <numFmt numFmtId="168" formatCode="_-* #,##0\ [$€]_-;\-* #,##0\ [$€]_-;_-* &quot;- &quot;[$€]_-;_-@_-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BankGothic Lt BT"/>
      <family val="2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6"/>
      <name val="Yu 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8" fontId="4" fillId="0" borderId="0" applyFill="0" applyBorder="0" applyProtection="0">
      <alignment vertical="center"/>
    </xf>
  </cellStyleXfs>
  <cellXfs count="26">
    <xf numFmtId="0" fontId="0" fillId="0" borderId="0" xfId="0"/>
    <xf numFmtId="167" fontId="5" fillId="2" borderId="0" xfId="0" applyNumberFormat="1" applyFont="1" applyFill="1"/>
    <xf numFmtId="167" fontId="5" fillId="2" borderId="1" xfId="0" applyNumberFormat="1" applyFont="1" applyFill="1" applyBorder="1"/>
    <xf numFmtId="167" fontId="5" fillId="2" borderId="0" xfId="0" applyNumberFormat="1" applyFont="1" applyFill="1" applyAlignment="1">
      <alignment horizontal="center"/>
    </xf>
    <xf numFmtId="167" fontId="5" fillId="2" borderId="3" xfId="0" applyNumberFormat="1" applyFont="1" applyFill="1" applyBorder="1"/>
    <xf numFmtId="167" fontId="5" fillId="2" borderId="5" xfId="0" applyNumberFormat="1" applyFont="1" applyFill="1" applyBorder="1"/>
    <xf numFmtId="167" fontId="5" fillId="2" borderId="0" xfId="1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167" fontId="6" fillId="2" borderId="0" xfId="0" applyNumberFormat="1" applyFont="1" applyFill="1"/>
    <xf numFmtId="9" fontId="5" fillId="2" borderId="0" xfId="3" applyFont="1" applyFill="1"/>
    <xf numFmtId="166" fontId="5" fillId="2" borderId="0" xfId="0" applyNumberFormat="1" applyFont="1" applyFill="1"/>
    <xf numFmtId="167" fontId="5" fillId="2" borderId="0" xfId="2" applyNumberFormat="1" applyFont="1" applyFill="1"/>
    <xf numFmtId="167" fontId="5" fillId="2" borderId="0" xfId="3" applyNumberFormat="1" applyFont="1" applyFill="1"/>
    <xf numFmtId="167" fontId="6" fillId="2" borderId="0" xfId="3" applyNumberFormat="1" applyFont="1" applyFill="1"/>
    <xf numFmtId="167" fontId="6" fillId="2" borderId="0" xfId="2" applyNumberFormat="1" applyFont="1" applyFill="1"/>
    <xf numFmtId="9" fontId="6" fillId="2" borderId="0" xfId="3" applyFont="1" applyFill="1"/>
    <xf numFmtId="167" fontId="5" fillId="0" borderId="0" xfId="0" applyNumberFormat="1" applyFont="1" applyFill="1"/>
    <xf numFmtId="4" fontId="5" fillId="2" borderId="2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2" borderId="6" xfId="1" applyNumberFormat="1" applyFont="1" applyFill="1" applyBorder="1" applyAlignment="1">
      <alignment horizontal="center"/>
    </xf>
    <xf numFmtId="4" fontId="5" fillId="2" borderId="0" xfId="0" applyNumberFormat="1" applyFont="1" applyFill="1"/>
    <xf numFmtId="9" fontId="5" fillId="3" borderId="0" xfId="3" applyFont="1" applyFill="1" applyAlignment="1">
      <alignment horizontal="center"/>
    </xf>
    <xf numFmtId="167" fontId="6" fillId="4" borderId="0" xfId="0" applyNumberFormat="1" applyFont="1" applyFill="1"/>
    <xf numFmtId="167" fontId="5" fillId="4" borderId="0" xfId="0" applyNumberFormat="1" applyFont="1" applyFill="1"/>
    <xf numFmtId="167" fontId="6" fillId="5" borderId="0" xfId="0" applyNumberFormat="1" applyFont="1" applyFill="1"/>
    <xf numFmtId="167" fontId="5" fillId="5" borderId="0" xfId="0" applyNumberFormat="1" applyFont="1" applyFill="1"/>
  </cellXfs>
  <cellStyles count="11">
    <cellStyle name="Comma" xfId="1" builtinId="3"/>
    <cellStyle name="Currency" xfId="2" builtinId="4"/>
    <cellStyle name="Euro" xfId="10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dward De Valle" id="{1B366299-4F31-0D4D-99CF-D1B719FE1155}" userId="S::e.devalle@grupodevalle.com::0bc2f323-7c0c-47ad-a255-fe0ed3484e7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2-09-13T12:13:35.06" personId="{1B366299-4F31-0D4D-99CF-D1B719FE1155}" id="{F16EE9C7-5113-7043-8422-2AF938203E9D}">
    <text xml:space="preserve">25 al ano a $5000 por evento </text>
  </threadedComment>
  <threadedComment ref="B33" dT="2022-09-13T12:08:19.05" personId="{1B366299-4F31-0D4D-99CF-D1B719FE1155}" id="{ECCE6588-68D0-7142-BC38-71E74A51D8E0}">
    <text xml:space="preserve">Se estima un incremento anualmente que no esta calculado en este modelo.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" dT="2022-09-13T12:13:35.06" personId="{1B366299-4F31-0D4D-99CF-D1B719FE1155}" id="{E92C82E2-0DC1-484B-BC6B-1305E4F3A8DE}">
    <text xml:space="preserve">25 al ano a $5000 por evento </text>
  </threadedComment>
  <threadedComment ref="B33" dT="2022-09-13T12:08:19.05" personId="{1B366299-4F31-0D4D-99CF-D1B719FE1155}" id="{53AAFCD1-6CA7-3C4B-8A8F-EA33FC5FC04C}">
    <text xml:space="preserve">Se estima un incremento anualmente que no esta calculado en este modelo.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998C-FCB8-C745-A4A4-3A92FC6C1DF3}">
  <dimension ref="A1:W54"/>
  <sheetViews>
    <sheetView topLeftCell="A36" zoomScale="92" zoomScaleNormal="75" workbookViewId="0">
      <selection activeCell="D56" sqref="D56"/>
    </sheetView>
  </sheetViews>
  <sheetFormatPr defaultColWidth="10.8515625" defaultRowHeight="15.75"/>
  <cols>
    <col min="1" max="1" width="10.8515625" style="1"/>
    <col min="2" max="2" width="41.5546875" style="1" bestFit="1" customWidth="1"/>
    <col min="3" max="3" width="12.82421875" style="1" bestFit="1" customWidth="1"/>
    <col min="4" max="5" width="13.6875" style="1" bestFit="1" customWidth="1"/>
    <col min="6" max="6" width="7.2734375" style="1" bestFit="1" customWidth="1"/>
    <col min="7" max="7" width="12.82421875" style="1" bestFit="1" customWidth="1"/>
    <col min="8" max="8" width="5.17578125" style="1" bestFit="1" customWidth="1"/>
    <col min="9" max="9" width="12.82421875" style="1" bestFit="1" customWidth="1"/>
    <col min="10" max="10" width="5.17578125" style="1" bestFit="1" customWidth="1"/>
    <col min="11" max="11" width="12.82421875" style="1" bestFit="1" customWidth="1"/>
    <col min="12" max="12" width="5.17578125" style="1" bestFit="1" customWidth="1"/>
    <col min="13" max="13" width="12.82421875" style="1" bestFit="1" customWidth="1"/>
    <col min="14" max="14" width="5.17578125" style="1" bestFit="1" customWidth="1"/>
    <col min="15" max="15" width="12.82421875" style="1" bestFit="1" customWidth="1"/>
    <col min="16" max="16" width="5.17578125" style="1" bestFit="1" customWidth="1"/>
    <col min="17" max="17" width="12.82421875" style="1" bestFit="1" customWidth="1"/>
    <col min="18" max="18" width="5.17578125" style="1" bestFit="1" customWidth="1"/>
    <col min="19" max="19" width="12.82421875" style="1" bestFit="1" customWidth="1"/>
    <col min="20" max="20" width="5.17578125" style="1" bestFit="1" customWidth="1"/>
    <col min="21" max="21" width="12.82421875" style="1" bestFit="1" customWidth="1"/>
    <col min="22" max="22" width="5.17578125" style="1" bestFit="1" customWidth="1"/>
    <col min="23" max="23" width="13.6875" style="1" bestFit="1" customWidth="1"/>
    <col min="24" max="16384" width="10.8515625" style="1"/>
  </cols>
  <sheetData>
    <row r="1" spans="2:23" ht="16.5" thickBot="1"/>
    <row r="2" spans="2:23">
      <c r="B2" s="2" t="s">
        <v>3</v>
      </c>
      <c r="C2" s="17">
        <v>120</v>
      </c>
      <c r="D2" s="3"/>
    </row>
    <row r="3" spans="2:23">
      <c r="B3" s="4" t="s">
        <v>4</v>
      </c>
      <c r="C3" s="18">
        <v>365</v>
      </c>
      <c r="D3" s="3"/>
    </row>
    <row r="4" spans="2:23" ht="16.5" thickBot="1">
      <c r="B4" s="5" t="s">
        <v>5</v>
      </c>
      <c r="C4" s="19">
        <f>+C3*C2</f>
        <v>43800</v>
      </c>
      <c r="D4" s="6"/>
      <c r="F4" s="9"/>
    </row>
    <row r="7" spans="2:23" s="8" customFormat="1">
      <c r="B7" s="7" t="s">
        <v>2</v>
      </c>
      <c r="E7" s="7" t="s">
        <v>9</v>
      </c>
      <c r="F7" s="7"/>
      <c r="G7" s="7" t="s">
        <v>10</v>
      </c>
      <c r="H7" s="7"/>
      <c r="I7" s="7" t="s">
        <v>11</v>
      </c>
      <c r="J7" s="7"/>
      <c r="K7" s="7" t="s">
        <v>12</v>
      </c>
      <c r="L7" s="7"/>
      <c r="M7" s="7" t="s">
        <v>13</v>
      </c>
      <c r="N7" s="7"/>
      <c r="O7" s="7" t="s">
        <v>44</v>
      </c>
      <c r="P7" s="7"/>
      <c r="Q7" s="7" t="s">
        <v>45</v>
      </c>
      <c r="R7" s="7"/>
      <c r="S7" s="7" t="s">
        <v>46</v>
      </c>
      <c r="T7" s="7"/>
      <c r="U7" s="7" t="s">
        <v>47</v>
      </c>
      <c r="V7" s="7"/>
      <c r="W7" s="7" t="s">
        <v>48</v>
      </c>
    </row>
    <row r="8" spans="2:23" s="9" customFormat="1">
      <c r="B8" s="9" t="s">
        <v>6</v>
      </c>
      <c r="E8" s="9">
        <v>0.65</v>
      </c>
      <c r="G8" s="9">
        <v>0.68</v>
      </c>
      <c r="I8" s="9">
        <v>0.69</v>
      </c>
      <c r="K8" s="9">
        <v>0.71</v>
      </c>
      <c r="M8" s="9">
        <v>0.73</v>
      </c>
      <c r="O8" s="9">
        <v>0.75</v>
      </c>
      <c r="Q8" s="9">
        <v>0.77</v>
      </c>
      <c r="S8" s="9">
        <v>0.79</v>
      </c>
      <c r="U8" s="9">
        <v>0.81</v>
      </c>
      <c r="W8" s="9">
        <v>0.83</v>
      </c>
    </row>
    <row r="9" spans="2:23" s="10" customFormat="1">
      <c r="B9" s="10" t="s">
        <v>7</v>
      </c>
      <c r="C9" s="10">
        <f>+C4</f>
        <v>43800</v>
      </c>
      <c r="E9" s="10">
        <f>+$C$9*E8</f>
        <v>28470</v>
      </c>
      <c r="G9" s="10">
        <f t="shared" ref="G9:M9" si="0">+$C$9*G8</f>
        <v>29784.000000000004</v>
      </c>
      <c r="I9" s="10">
        <f t="shared" si="0"/>
        <v>30221.999999999996</v>
      </c>
      <c r="K9" s="10">
        <f t="shared" si="0"/>
        <v>31098</v>
      </c>
      <c r="M9" s="10">
        <f t="shared" si="0"/>
        <v>31974</v>
      </c>
      <c r="O9" s="10">
        <f t="shared" ref="O9" si="1">+$C$9*O8</f>
        <v>32850</v>
      </c>
      <c r="Q9" s="10">
        <f t="shared" ref="Q9:R9" si="2">+$C$9*Q8</f>
        <v>33726</v>
      </c>
      <c r="S9" s="10">
        <f t="shared" ref="S9:T9" si="3">+$C$9*S8</f>
        <v>34602</v>
      </c>
      <c r="U9" s="10">
        <f t="shared" ref="U9:V9" si="4">+$C$9*U8</f>
        <v>35478</v>
      </c>
      <c r="W9" s="10">
        <f t="shared" ref="W9" si="5">+$C$9*W8</f>
        <v>36354</v>
      </c>
    </row>
    <row r="10" spans="2:23">
      <c r="B10" s="1" t="s">
        <v>8</v>
      </c>
      <c r="E10" s="11">
        <v>85</v>
      </c>
      <c r="F10" s="11"/>
      <c r="G10" s="11">
        <v>90</v>
      </c>
      <c r="H10" s="11"/>
      <c r="I10" s="11">
        <v>95</v>
      </c>
      <c r="J10" s="11"/>
      <c r="K10" s="11">
        <v>100</v>
      </c>
      <c r="L10" s="11"/>
      <c r="M10" s="11">
        <v>105</v>
      </c>
      <c r="N10" s="11"/>
      <c r="O10" s="11">
        <v>110</v>
      </c>
      <c r="P10" s="11"/>
      <c r="Q10" s="11">
        <v>115</v>
      </c>
      <c r="R10" s="11"/>
      <c r="S10" s="11">
        <v>120</v>
      </c>
      <c r="T10" s="11"/>
      <c r="U10" s="11">
        <v>125</v>
      </c>
      <c r="V10" s="11"/>
      <c r="W10" s="11">
        <v>130</v>
      </c>
    </row>
    <row r="11" spans="2:23">
      <c r="B11" s="1" t="s">
        <v>14</v>
      </c>
      <c r="C11" s="12"/>
      <c r="D11" s="12"/>
      <c r="E11" s="11">
        <f>+E10*E9</f>
        <v>2419950</v>
      </c>
      <c r="F11" s="9">
        <f>E11/E15</f>
        <v>0.81424966352624495</v>
      </c>
      <c r="G11" s="11">
        <f t="shared" ref="G11:K11" si="6">+G10*G9</f>
        <v>2680560.0000000005</v>
      </c>
      <c r="H11" s="9">
        <f>G11/G15</f>
        <v>0.82419934077827528</v>
      </c>
      <c r="I11" s="11">
        <f t="shared" si="6"/>
        <v>2871089.9999999995</v>
      </c>
      <c r="J11" s="9">
        <f>I11/I15</f>
        <v>0.83233992961135495</v>
      </c>
      <c r="K11" s="11">
        <f t="shared" si="6"/>
        <v>3109800</v>
      </c>
      <c r="L11" s="9">
        <f>K11/K15</f>
        <v>0.91726666450362648</v>
      </c>
      <c r="M11" s="11">
        <f t="shared" ref="M11:O11" si="7">+M10*M9</f>
        <v>3357270</v>
      </c>
      <c r="N11" s="9">
        <f>M11/M15</f>
        <v>0.92178499453617924</v>
      </c>
      <c r="O11" s="11">
        <f t="shared" si="7"/>
        <v>3613500</v>
      </c>
      <c r="P11" s="9">
        <f>O11/O15</f>
        <v>0.92588559349176858</v>
      </c>
      <c r="Q11" s="11">
        <f t="shared" ref="Q11:R11" si="8">+Q10*Q9</f>
        <v>3878490</v>
      </c>
      <c r="R11" s="9">
        <f>Q11/Q15</f>
        <v>0.92962091215017784</v>
      </c>
      <c r="S11" s="11">
        <f t="shared" ref="S11:T11" si="9">+S10*S9</f>
        <v>4152240</v>
      </c>
      <c r="T11" s="9">
        <f>S11/S15</f>
        <v>0.93303522274029549</v>
      </c>
      <c r="U11" s="11">
        <f t="shared" ref="U11:V11" si="10">+U10*U9</f>
        <v>4434750</v>
      </c>
      <c r="V11" s="9">
        <f>U11/U15</f>
        <v>0.93616612555254863</v>
      </c>
      <c r="W11" s="11">
        <f t="shared" ref="W11" si="11">+W10*W9</f>
        <v>4726020</v>
      </c>
    </row>
    <row r="12" spans="2:23">
      <c r="B12" s="1" t="s">
        <v>15</v>
      </c>
      <c r="E12" s="1">
        <f>+E11-E20</f>
        <v>2238453.75</v>
      </c>
      <c r="F12" s="9">
        <f>E12/E15</f>
        <v>0.75318093876177661</v>
      </c>
      <c r="G12" s="1">
        <f>+G11-G20</f>
        <v>2479518.0000000005</v>
      </c>
      <c r="H12" s="9">
        <f>G12/G15</f>
        <v>0.76238439021990456</v>
      </c>
      <c r="I12" s="1">
        <f>+I11-I20</f>
        <v>2655758.2499999995</v>
      </c>
      <c r="J12" s="9">
        <f>I12/I15</f>
        <v>0.76991443489050326</v>
      </c>
      <c r="K12" s="1">
        <f>+K11-K20</f>
        <v>2876565</v>
      </c>
      <c r="L12" s="9">
        <f>K12/K15</f>
        <v>0.84847166466585455</v>
      </c>
      <c r="M12" s="1">
        <f>+M11-M20</f>
        <v>3105474.75</v>
      </c>
      <c r="N12" s="9">
        <f>M12/M15</f>
        <v>0.85265111994596587</v>
      </c>
      <c r="O12" s="1">
        <f>+O11-O20</f>
        <v>3342487.5</v>
      </c>
      <c r="P12" s="9">
        <f>O12/O15</f>
        <v>0.85644417397988593</v>
      </c>
      <c r="Q12" s="1">
        <f>+Q11-Q20</f>
        <v>3587603.25</v>
      </c>
      <c r="R12" s="9">
        <f>Q12/Q15</f>
        <v>0.85989934373891452</v>
      </c>
      <c r="S12" s="1">
        <f>+S11-S20</f>
        <v>3840822</v>
      </c>
      <c r="T12" s="9">
        <f>S12/S15</f>
        <v>0.86305758103477337</v>
      </c>
      <c r="U12" s="1">
        <f>+U11-U20</f>
        <v>4102143.75</v>
      </c>
      <c r="V12" s="9">
        <f>U12/U15</f>
        <v>0.86595366613610747</v>
      </c>
      <c r="W12" s="1">
        <f>+W11-W20</f>
        <v>4371568.5</v>
      </c>
    </row>
    <row r="13" spans="2:23">
      <c r="B13" s="1" t="s">
        <v>42</v>
      </c>
      <c r="C13" s="21" t="s">
        <v>50</v>
      </c>
      <c r="D13" s="21"/>
      <c r="E13" s="11">
        <f>E9*15</f>
        <v>427050</v>
      </c>
      <c r="F13" s="9">
        <v>0.05</v>
      </c>
      <c r="G13" s="11">
        <f>G9*15</f>
        <v>446760.00000000006</v>
      </c>
      <c r="H13" s="9">
        <v>0.05</v>
      </c>
      <c r="I13" s="11">
        <f>I9*15</f>
        <v>453329.99999999994</v>
      </c>
      <c r="J13" s="9">
        <v>0.04</v>
      </c>
      <c r="K13" s="11">
        <f>K9*5</f>
        <v>155490</v>
      </c>
      <c r="L13" s="9">
        <v>0.04</v>
      </c>
      <c r="M13" s="11">
        <f>M9*5</f>
        <v>159870</v>
      </c>
      <c r="N13" s="9">
        <v>0.04</v>
      </c>
      <c r="O13" s="11">
        <f>O9*5</f>
        <v>164250</v>
      </c>
      <c r="P13" s="9">
        <v>0.04</v>
      </c>
      <c r="Q13" s="11">
        <f>Q9*5</f>
        <v>168630</v>
      </c>
      <c r="R13" s="9">
        <v>0.04</v>
      </c>
      <c r="S13" s="11">
        <f>S9*5</f>
        <v>173010</v>
      </c>
      <c r="T13" s="9">
        <v>0.04</v>
      </c>
      <c r="U13" s="11">
        <f>U9*5</f>
        <v>177390</v>
      </c>
      <c r="V13" s="9">
        <v>0.04</v>
      </c>
      <c r="W13" s="11">
        <f>W9*5</f>
        <v>181770</v>
      </c>
    </row>
    <row r="14" spans="2:23">
      <c r="B14" s="1" t="s">
        <v>29</v>
      </c>
      <c r="C14" s="9"/>
      <c r="D14" s="12"/>
      <c r="E14" s="11">
        <f>25*5000</f>
        <v>125000</v>
      </c>
      <c r="F14" s="9">
        <v>0.08</v>
      </c>
      <c r="G14" s="11">
        <f>25*5000</f>
        <v>125000</v>
      </c>
      <c r="H14" s="9">
        <v>0.08</v>
      </c>
      <c r="I14" s="11">
        <f>25*5000</f>
        <v>125000</v>
      </c>
      <c r="J14" s="9">
        <v>0.08</v>
      </c>
      <c r="K14" s="11">
        <f>25*5000</f>
        <v>125000</v>
      </c>
      <c r="L14" s="9">
        <v>0.08</v>
      </c>
      <c r="M14" s="11">
        <f>25*5000</f>
        <v>125000</v>
      </c>
      <c r="N14" s="9">
        <v>0.08</v>
      </c>
      <c r="O14" s="11">
        <f>25*5000</f>
        <v>125000</v>
      </c>
      <c r="P14" s="9">
        <v>0.08</v>
      </c>
      <c r="Q14" s="11">
        <f>25*5000</f>
        <v>125000</v>
      </c>
      <c r="R14" s="9">
        <v>0.08</v>
      </c>
      <c r="S14" s="11">
        <f>25*5000</f>
        <v>125000</v>
      </c>
      <c r="T14" s="9">
        <v>0.08</v>
      </c>
      <c r="U14" s="11">
        <f>25*5000</f>
        <v>125000</v>
      </c>
      <c r="V14" s="9">
        <v>0.08</v>
      </c>
      <c r="W14" s="11">
        <f>25*5000</f>
        <v>125000</v>
      </c>
    </row>
    <row r="15" spans="2:23" s="8" customFormat="1">
      <c r="B15" s="8" t="s">
        <v>27</v>
      </c>
      <c r="C15" s="13"/>
      <c r="D15" s="13"/>
      <c r="E15" s="14">
        <f>E11+E13+E14</f>
        <v>2972000</v>
      </c>
      <c r="F15" s="15">
        <f>F11+F13+F14</f>
        <v>0.94424966352624495</v>
      </c>
      <c r="G15" s="14">
        <f>G11+G13+G14</f>
        <v>3252320.0000000005</v>
      </c>
      <c r="H15" s="15">
        <f>H11+H13+H14</f>
        <v>0.95419934077827528</v>
      </c>
      <c r="I15" s="14">
        <f>I11+I13+I14</f>
        <v>3449419.9999999995</v>
      </c>
      <c r="J15" s="15">
        <f>J11+J13+J14</f>
        <v>0.95233992961135494</v>
      </c>
      <c r="K15" s="14">
        <f>K11+K13+K14</f>
        <v>3390290</v>
      </c>
      <c r="L15" s="15">
        <f>L11+L13+L14</f>
        <v>1.0372666645036266</v>
      </c>
      <c r="M15" s="14">
        <f>M11+M13+M14</f>
        <v>3642140</v>
      </c>
      <c r="N15" s="15">
        <f>N11+N13+N14</f>
        <v>1.0417849945361792</v>
      </c>
      <c r="O15" s="14">
        <f>O11+O13+O14</f>
        <v>3902750</v>
      </c>
      <c r="P15" s="15">
        <f>P11+P13+P14</f>
        <v>1.0458855934917686</v>
      </c>
      <c r="Q15" s="14">
        <f>Q11+Q13+Q14</f>
        <v>4172120</v>
      </c>
      <c r="R15" s="15">
        <f>R11+R13+R14</f>
        <v>1.0496209121501778</v>
      </c>
      <c r="S15" s="14">
        <f>S11+S13+S14</f>
        <v>4450250</v>
      </c>
      <c r="T15" s="15">
        <f>T11+T13+T14</f>
        <v>1.0530352227402955</v>
      </c>
      <c r="U15" s="14">
        <f>U11+U13+U14</f>
        <v>4737140</v>
      </c>
      <c r="V15" s="15">
        <f>V11+V13+V14</f>
        <v>1.0561661255525487</v>
      </c>
      <c r="W15" s="14">
        <f>W11+W13+W14</f>
        <v>5032790</v>
      </c>
    </row>
    <row r="17" spans="2:23" s="8" customFormat="1">
      <c r="B17" s="7" t="s">
        <v>33</v>
      </c>
      <c r="C17" s="7"/>
      <c r="D17" s="7"/>
      <c r="E17" s="7" t="s">
        <v>9</v>
      </c>
      <c r="F17" s="7"/>
      <c r="G17" s="7" t="s">
        <v>10</v>
      </c>
      <c r="H17" s="7"/>
      <c r="I17" s="7" t="s">
        <v>11</v>
      </c>
      <c r="J17" s="7"/>
      <c r="K17" s="7" t="s">
        <v>12</v>
      </c>
      <c r="L17" s="7"/>
      <c r="M17" s="7" t="s">
        <v>13</v>
      </c>
      <c r="N17" s="7"/>
      <c r="O17" s="7" t="s">
        <v>44</v>
      </c>
      <c r="P17" s="7"/>
      <c r="Q17" s="7" t="s">
        <v>45</v>
      </c>
      <c r="R17" s="7"/>
      <c r="S17" s="7" t="s">
        <v>46</v>
      </c>
      <c r="T17" s="7"/>
      <c r="U17" s="7" t="s">
        <v>47</v>
      </c>
      <c r="V17" s="7"/>
      <c r="W17" s="7" t="s">
        <v>48</v>
      </c>
    </row>
    <row r="18" spans="2:23" s="8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2:23" s="8" customFormat="1">
      <c r="B19" s="7" t="s">
        <v>34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2:23">
      <c r="B20" s="1" t="s">
        <v>25</v>
      </c>
      <c r="C20" s="9">
        <f>15%*0.5</f>
        <v>7.4999999999999997E-2</v>
      </c>
      <c r="D20" s="12"/>
      <c r="E20" s="11">
        <f>+E11*$C$20</f>
        <v>181496.25</v>
      </c>
      <c r="F20" s="9">
        <f>E20/E15</f>
        <v>6.1068724764468368E-2</v>
      </c>
      <c r="G20" s="11">
        <f>+G11*$C$20</f>
        <v>201042.00000000003</v>
      </c>
      <c r="H20" s="9">
        <f>G20/G15</f>
        <v>6.1814950558370642E-2</v>
      </c>
      <c r="I20" s="11">
        <f>+I11*$C$20</f>
        <v>215331.74999999997</v>
      </c>
      <c r="J20" s="9">
        <f>I20/I15</f>
        <v>6.2425494720851619E-2</v>
      </c>
      <c r="K20" s="11">
        <f>+K11*$C$20</f>
        <v>233235</v>
      </c>
      <c r="L20" s="9">
        <f>K20/K15</f>
        <v>6.8794999837771986E-2</v>
      </c>
      <c r="M20" s="11">
        <f>+M11*$C$20</f>
        <v>251795.25</v>
      </c>
      <c r="N20" s="9">
        <f>M20/M15</f>
        <v>6.9133874590213445E-2</v>
      </c>
      <c r="O20" s="11">
        <f>+O11*$C$20</f>
        <v>271012.5</v>
      </c>
      <c r="P20" s="9">
        <f>O20/O15</f>
        <v>6.9441419511882652E-2</v>
      </c>
      <c r="Q20" s="11">
        <f>+Q11*$C$20</f>
        <v>290886.75</v>
      </c>
      <c r="R20" s="9">
        <f>Q20/Q15</f>
        <v>6.972156841126334E-2</v>
      </c>
      <c r="S20" s="11">
        <f>+S11*$C$20</f>
        <v>311418</v>
      </c>
      <c r="T20" s="9">
        <f>S20/S15</f>
        <v>6.9977641705522162E-2</v>
      </c>
      <c r="U20" s="11">
        <f>+U11*$C$20</f>
        <v>332606.25</v>
      </c>
      <c r="V20" s="9">
        <f>U20/U15</f>
        <v>7.021245941644115E-2</v>
      </c>
      <c r="W20" s="11">
        <f>+W11*$C$20</f>
        <v>354451.5</v>
      </c>
    </row>
    <row r="21" spans="2:23">
      <c r="B21" s="1" t="s">
        <v>20</v>
      </c>
      <c r="C21" s="11">
        <v>2</v>
      </c>
      <c r="D21" s="11"/>
      <c r="E21" s="11">
        <f>+$C$21*E9</f>
        <v>56940</v>
      </c>
      <c r="F21" s="9">
        <f t="shared" ref="F21:F26" si="12">E21/$E$15</f>
        <v>1.9158815612382234E-2</v>
      </c>
      <c r="G21" s="11">
        <f>+$C$21*G9</f>
        <v>59568.000000000007</v>
      </c>
      <c r="H21" s="9">
        <f t="shared" ref="H21:H26" si="13">G21/$G$15</f>
        <v>1.8315540906183893E-2</v>
      </c>
      <c r="I21" s="11">
        <f>+$C$21*I9</f>
        <v>60443.999999999993</v>
      </c>
      <c r="J21" s="9">
        <f t="shared" ref="J21:J26" si="14">I21/$I$15</f>
        <v>1.7522945886554842E-2</v>
      </c>
      <c r="K21" s="11">
        <f>+$C$21*K9</f>
        <v>62196</v>
      </c>
      <c r="L21" s="9">
        <f t="shared" ref="L21:L26" si="15">K21/$K$15</f>
        <v>1.834533329007253E-2</v>
      </c>
      <c r="M21" s="11">
        <f>+$C$21*M9</f>
        <v>63948</v>
      </c>
      <c r="N21" s="9">
        <f t="shared" ref="N21:N26" si="16">M21/$M$15</f>
        <v>1.7557809419736749E-2</v>
      </c>
      <c r="O21" s="11">
        <f>+$C$21*O9</f>
        <v>65700</v>
      </c>
      <c r="P21" s="9">
        <f t="shared" ref="P21:P26" si="17">O21/$M$15</f>
        <v>1.8038845294250084E-2</v>
      </c>
      <c r="Q21" s="11">
        <f>+$C$21*Q9</f>
        <v>67452</v>
      </c>
      <c r="R21" s="9">
        <f t="shared" ref="R21:R26" si="18">Q21/$M$15</f>
        <v>1.8519881168763418E-2</v>
      </c>
      <c r="S21" s="11">
        <f>+$C$21*S9</f>
        <v>69204</v>
      </c>
      <c r="T21" s="9">
        <f t="shared" ref="T21:T26" si="19">S21/$M$15</f>
        <v>1.9000917043276756E-2</v>
      </c>
      <c r="U21" s="11">
        <f>+$C$21*U9</f>
        <v>70956</v>
      </c>
      <c r="V21" s="9">
        <f t="shared" ref="V21:V26" si="20">U21/$M$15</f>
        <v>1.9481952917790091E-2</v>
      </c>
      <c r="W21" s="11">
        <f>+$C$21*W9</f>
        <v>72708</v>
      </c>
    </row>
    <row r="22" spans="2:23">
      <c r="B22" s="1" t="s">
        <v>21</v>
      </c>
      <c r="C22" s="11">
        <v>5</v>
      </c>
      <c r="D22" s="11"/>
      <c r="E22" s="11">
        <f>+$C$22*E9</f>
        <v>142350</v>
      </c>
      <c r="F22" s="9">
        <f t="shared" si="12"/>
        <v>4.7897039030955588E-2</v>
      </c>
      <c r="G22" s="11">
        <f>+$C$22*G9</f>
        <v>148920.00000000003</v>
      </c>
      <c r="H22" s="9">
        <f t="shared" si="13"/>
        <v>4.5788852265459735E-2</v>
      </c>
      <c r="I22" s="11">
        <f>+$C$22*I9</f>
        <v>151109.99999999997</v>
      </c>
      <c r="J22" s="9">
        <f t="shared" si="14"/>
        <v>4.3807364716387097E-2</v>
      </c>
      <c r="K22" s="11">
        <f>+$C$22*K9</f>
        <v>155490</v>
      </c>
      <c r="L22" s="9">
        <f t="shared" si="15"/>
        <v>4.5863333225181324E-2</v>
      </c>
      <c r="M22" s="11">
        <f>+$C$22*M9</f>
        <v>159870</v>
      </c>
      <c r="N22" s="9">
        <f t="shared" si="16"/>
        <v>4.3894523549341868E-2</v>
      </c>
      <c r="O22" s="11">
        <f>+$C$22*O9</f>
        <v>164250</v>
      </c>
      <c r="P22" s="9">
        <f t="shared" si="17"/>
        <v>4.5097113235625208E-2</v>
      </c>
      <c r="Q22" s="11">
        <f>+$C$22*Q9</f>
        <v>168630</v>
      </c>
      <c r="R22" s="9">
        <f t="shared" si="18"/>
        <v>4.6299702921908548E-2</v>
      </c>
      <c r="S22" s="11">
        <f>+$C$22*S9</f>
        <v>173010</v>
      </c>
      <c r="T22" s="9">
        <f t="shared" si="19"/>
        <v>4.7502292608191887E-2</v>
      </c>
      <c r="U22" s="11">
        <f>+$C$22*U9</f>
        <v>177390</v>
      </c>
      <c r="V22" s="9">
        <f t="shared" si="20"/>
        <v>4.8704882294475227E-2</v>
      </c>
      <c r="W22" s="11">
        <f>+$C$22*W9</f>
        <v>181770</v>
      </c>
    </row>
    <row r="23" spans="2:23">
      <c r="B23" s="1" t="s">
        <v>23</v>
      </c>
      <c r="C23" s="11">
        <v>2</v>
      </c>
      <c r="D23" s="11"/>
      <c r="E23" s="11">
        <f>+$C$23*E9</f>
        <v>56940</v>
      </c>
      <c r="F23" s="9">
        <f t="shared" si="12"/>
        <v>1.9158815612382234E-2</v>
      </c>
      <c r="G23" s="11">
        <f>+$C$23*G9</f>
        <v>59568.000000000007</v>
      </c>
      <c r="H23" s="9">
        <f t="shared" si="13"/>
        <v>1.8315540906183893E-2</v>
      </c>
      <c r="I23" s="11">
        <f>+$C$23*I9</f>
        <v>60443.999999999993</v>
      </c>
      <c r="J23" s="9">
        <f t="shared" si="14"/>
        <v>1.7522945886554842E-2</v>
      </c>
      <c r="K23" s="11">
        <f>+$C$23*K9</f>
        <v>62196</v>
      </c>
      <c r="L23" s="9">
        <f t="shared" si="15"/>
        <v>1.834533329007253E-2</v>
      </c>
      <c r="M23" s="11">
        <f>+$C$23*M9</f>
        <v>63948</v>
      </c>
      <c r="N23" s="9">
        <f t="shared" si="16"/>
        <v>1.7557809419736749E-2</v>
      </c>
      <c r="O23" s="11">
        <f>+$C$23*O9</f>
        <v>65700</v>
      </c>
      <c r="P23" s="9">
        <f t="shared" si="17"/>
        <v>1.8038845294250084E-2</v>
      </c>
      <c r="Q23" s="11">
        <f>+$C$23*Q9</f>
        <v>67452</v>
      </c>
      <c r="R23" s="9">
        <f t="shared" si="18"/>
        <v>1.8519881168763418E-2</v>
      </c>
      <c r="S23" s="11">
        <f>+$C$23*S9</f>
        <v>69204</v>
      </c>
      <c r="T23" s="9">
        <f t="shared" si="19"/>
        <v>1.9000917043276756E-2</v>
      </c>
      <c r="U23" s="11">
        <f>+$C$23*U9</f>
        <v>70956</v>
      </c>
      <c r="V23" s="9">
        <f t="shared" si="20"/>
        <v>1.9481952917790091E-2</v>
      </c>
      <c r="W23" s="11">
        <f>+$C$23*W9</f>
        <v>72708</v>
      </c>
    </row>
    <row r="24" spans="2:23">
      <c r="B24" s="1" t="s">
        <v>22</v>
      </c>
      <c r="C24" s="11">
        <v>5</v>
      </c>
      <c r="D24" s="11"/>
      <c r="E24" s="11">
        <f>+$C$24*E9</f>
        <v>142350</v>
      </c>
      <c r="F24" s="9">
        <f t="shared" si="12"/>
        <v>4.7897039030955588E-2</v>
      </c>
      <c r="G24" s="11">
        <f>+$C$24*G9</f>
        <v>148920.00000000003</v>
      </c>
      <c r="H24" s="9">
        <f t="shared" si="13"/>
        <v>4.5788852265459735E-2</v>
      </c>
      <c r="I24" s="11">
        <f>+$C$24*I9</f>
        <v>151109.99999999997</v>
      </c>
      <c r="J24" s="9">
        <f t="shared" si="14"/>
        <v>4.3807364716387097E-2</v>
      </c>
      <c r="K24" s="11">
        <f>+$C$24*K9</f>
        <v>155490</v>
      </c>
      <c r="L24" s="9">
        <f t="shared" si="15"/>
        <v>4.5863333225181324E-2</v>
      </c>
      <c r="M24" s="11">
        <f>+$C$24*M9</f>
        <v>159870</v>
      </c>
      <c r="N24" s="9">
        <f t="shared" si="16"/>
        <v>4.3894523549341868E-2</v>
      </c>
      <c r="O24" s="11">
        <f>+$C$24*O9</f>
        <v>164250</v>
      </c>
      <c r="P24" s="9">
        <f t="shared" si="17"/>
        <v>4.5097113235625208E-2</v>
      </c>
      <c r="Q24" s="11">
        <f>+$C$24*Q9</f>
        <v>168630</v>
      </c>
      <c r="R24" s="9">
        <f t="shared" si="18"/>
        <v>4.6299702921908548E-2</v>
      </c>
      <c r="S24" s="11">
        <f>+$C$24*S9</f>
        <v>173010</v>
      </c>
      <c r="T24" s="9">
        <f t="shared" si="19"/>
        <v>4.7502292608191887E-2</v>
      </c>
      <c r="U24" s="11">
        <f>+$C$24*U9</f>
        <v>177390</v>
      </c>
      <c r="V24" s="9">
        <f t="shared" si="20"/>
        <v>4.8704882294475227E-2</v>
      </c>
      <c r="W24" s="11">
        <f>+$C$24*W9</f>
        <v>181770</v>
      </c>
    </row>
    <row r="25" spans="2:23">
      <c r="B25" s="1" t="s">
        <v>24</v>
      </c>
      <c r="C25" s="12">
        <v>0.5</v>
      </c>
      <c r="D25" s="12"/>
      <c r="E25" s="11">
        <f>+E13*$C$25</f>
        <v>213525</v>
      </c>
      <c r="F25" s="9">
        <f t="shared" si="12"/>
        <v>7.1845558546433375E-2</v>
      </c>
      <c r="G25" s="11">
        <f>+G13*$C$25</f>
        <v>223380.00000000003</v>
      </c>
      <c r="H25" s="9">
        <f t="shared" si="13"/>
        <v>6.8683278398189593E-2</v>
      </c>
      <c r="I25" s="11">
        <f>+I13*$C$25</f>
        <v>226664.99999999997</v>
      </c>
      <c r="J25" s="9">
        <f t="shared" si="14"/>
        <v>6.5711047074580656E-2</v>
      </c>
      <c r="K25" s="11">
        <f>+K13*$C$25</f>
        <v>77745</v>
      </c>
      <c r="L25" s="9">
        <f t="shared" si="15"/>
        <v>2.2931666612590662E-2</v>
      </c>
      <c r="M25" s="11">
        <f>+M13*$C$25</f>
        <v>79935</v>
      </c>
      <c r="N25" s="9">
        <f t="shared" si="16"/>
        <v>2.1947261774670934E-2</v>
      </c>
      <c r="O25" s="11">
        <f>+O13*$C$25</f>
        <v>82125</v>
      </c>
      <c r="P25" s="9">
        <f t="shared" si="17"/>
        <v>2.2548556617812604E-2</v>
      </c>
      <c r="Q25" s="11">
        <f>+Q13*$C$25</f>
        <v>84315</v>
      </c>
      <c r="R25" s="9">
        <f t="shared" si="18"/>
        <v>2.3149851460954274E-2</v>
      </c>
      <c r="S25" s="11">
        <f>+S13*$C$25</f>
        <v>86505</v>
      </c>
      <c r="T25" s="9">
        <f t="shared" si="19"/>
        <v>2.3751146304095944E-2</v>
      </c>
      <c r="U25" s="11">
        <f>+U13*$C$25</f>
        <v>88695</v>
      </c>
      <c r="V25" s="9">
        <f t="shared" si="20"/>
        <v>2.4352441147237613E-2</v>
      </c>
      <c r="W25" s="11">
        <f>+W13*$C$25</f>
        <v>90885</v>
      </c>
    </row>
    <row r="26" spans="2:23">
      <c r="B26" s="1" t="s">
        <v>30</v>
      </c>
      <c r="C26" s="12">
        <v>0.25</v>
      </c>
      <c r="D26" s="12"/>
      <c r="E26" s="11">
        <f>+E14*$C$26</f>
        <v>31250</v>
      </c>
      <c r="F26" s="9">
        <f t="shared" si="12"/>
        <v>1.0514804845222072E-2</v>
      </c>
      <c r="G26" s="11">
        <f>+G14*$C$26</f>
        <v>31250</v>
      </c>
      <c r="H26" s="9">
        <f t="shared" si="13"/>
        <v>9.6085256063363992E-3</v>
      </c>
      <c r="I26" s="11">
        <f>+I14*$C$26</f>
        <v>31250</v>
      </c>
      <c r="J26" s="9">
        <f t="shared" si="14"/>
        <v>9.0594940598709359E-3</v>
      </c>
      <c r="K26" s="11">
        <f>+K14*$C$26</f>
        <v>31250</v>
      </c>
      <c r="L26" s="9">
        <f t="shared" si="15"/>
        <v>9.2175005677980343E-3</v>
      </c>
      <c r="M26" s="11">
        <f>+M14*$C$26</f>
        <v>31250</v>
      </c>
      <c r="N26" s="9">
        <f t="shared" si="16"/>
        <v>8.5801204786197134E-3</v>
      </c>
      <c r="O26" s="11">
        <f>+O14*$C$26</f>
        <v>31250</v>
      </c>
      <c r="P26" s="9">
        <f t="shared" si="17"/>
        <v>8.5801204786197134E-3</v>
      </c>
      <c r="Q26" s="11">
        <f>+Q14*$C$26</f>
        <v>31250</v>
      </c>
      <c r="R26" s="9">
        <f t="shared" si="18"/>
        <v>8.5801204786197134E-3</v>
      </c>
      <c r="S26" s="11">
        <f>+S14*$C$26</f>
        <v>31250</v>
      </c>
      <c r="T26" s="9">
        <f t="shared" si="19"/>
        <v>8.5801204786197134E-3</v>
      </c>
      <c r="U26" s="11">
        <f>+U14*$C$26</f>
        <v>31250</v>
      </c>
      <c r="V26" s="9">
        <f t="shared" si="20"/>
        <v>8.5801204786197134E-3</v>
      </c>
      <c r="W26" s="11">
        <f>+W14*$C$26</f>
        <v>31250</v>
      </c>
    </row>
    <row r="27" spans="2:23">
      <c r="C27" s="12"/>
      <c r="D27" s="12"/>
      <c r="E27" s="11"/>
      <c r="F27" s="9"/>
      <c r="G27" s="11"/>
      <c r="H27" s="9"/>
      <c r="I27" s="11"/>
      <c r="J27" s="9"/>
      <c r="K27" s="11"/>
      <c r="L27" s="9"/>
      <c r="M27" s="11"/>
      <c r="N27" s="9"/>
      <c r="O27" s="11"/>
      <c r="P27" s="9"/>
      <c r="Q27" s="11"/>
      <c r="R27" s="9"/>
      <c r="S27" s="11"/>
      <c r="T27" s="9"/>
      <c r="U27" s="11"/>
      <c r="V27" s="9"/>
      <c r="W27" s="11"/>
    </row>
    <row r="28" spans="2:23">
      <c r="B28" s="8" t="s">
        <v>35</v>
      </c>
      <c r="C28" s="12"/>
      <c r="D28" s="12"/>
      <c r="E28" s="11"/>
      <c r="F28" s="9"/>
      <c r="G28" s="11"/>
      <c r="H28" s="9"/>
      <c r="I28" s="11"/>
      <c r="J28" s="9"/>
      <c r="K28" s="11"/>
      <c r="L28" s="9"/>
      <c r="M28" s="11"/>
      <c r="N28" s="9"/>
      <c r="O28" s="11"/>
      <c r="P28" s="9"/>
      <c r="Q28" s="11"/>
      <c r="R28" s="9"/>
      <c r="S28" s="11"/>
      <c r="T28" s="9"/>
      <c r="U28" s="11"/>
      <c r="V28" s="9"/>
      <c r="W28" s="11"/>
    </row>
    <row r="29" spans="2:23">
      <c r="B29" s="1" t="s">
        <v>40</v>
      </c>
      <c r="C29" s="9">
        <v>0.02</v>
      </c>
      <c r="D29" s="11"/>
      <c r="E29" s="11">
        <f>+$C$29*E11</f>
        <v>48399</v>
      </c>
      <c r="F29" s="9">
        <f>E29/$E$15</f>
        <v>1.6284993270524899E-2</v>
      </c>
      <c r="G29" s="11">
        <f>+$C$29*G11</f>
        <v>53611.200000000012</v>
      </c>
      <c r="H29" s="9">
        <f>G29/$G$15</f>
        <v>1.6483986815565507E-2</v>
      </c>
      <c r="I29" s="11">
        <f>+$C$29*I11</f>
        <v>57421.799999999988</v>
      </c>
      <c r="J29" s="9">
        <f>I29/$I$15</f>
        <v>1.6646798592227098E-2</v>
      </c>
      <c r="K29" s="11">
        <f>+$C$29*K11</f>
        <v>62196</v>
      </c>
      <c r="L29" s="9">
        <f>K29/$K$15</f>
        <v>1.834533329007253E-2</v>
      </c>
      <c r="M29" s="11">
        <f>+$C$29*M11</f>
        <v>67145.399999999994</v>
      </c>
      <c r="N29" s="9">
        <f>M29/$M$15</f>
        <v>1.8435699890723585E-2</v>
      </c>
      <c r="O29" s="11">
        <f>+$C$29*O11</f>
        <v>72270</v>
      </c>
      <c r="P29" s="9">
        <f>O29/$M$15</f>
        <v>1.9842729823675093E-2</v>
      </c>
      <c r="Q29" s="11">
        <f>+$C$29*Q11</f>
        <v>77569.8</v>
      </c>
      <c r="R29" s="9">
        <f>Q29/$M$15</f>
        <v>2.1297863344077933E-2</v>
      </c>
      <c r="S29" s="11">
        <f>+$C$29*S11</f>
        <v>83044.800000000003</v>
      </c>
      <c r="T29" s="9">
        <f>S29/$M$15</f>
        <v>2.2801100451932108E-2</v>
      </c>
      <c r="U29" s="11">
        <f>+$C$29*U11</f>
        <v>88695</v>
      </c>
      <c r="V29" s="9">
        <f>U29/$M$15</f>
        <v>2.4352441147237613E-2</v>
      </c>
      <c r="W29" s="11">
        <f>+$C$29*W11</f>
        <v>94520.400000000009</v>
      </c>
    </row>
    <row r="30" spans="2:23">
      <c r="B30" s="1" t="s">
        <v>41</v>
      </c>
      <c r="C30" s="9">
        <v>0.03</v>
      </c>
      <c r="D30" s="11"/>
      <c r="E30" s="11">
        <f>+$C$30*E11</f>
        <v>72598.5</v>
      </c>
      <c r="F30" s="9">
        <f>E30/$E$15</f>
        <v>2.4427489905787348E-2</v>
      </c>
      <c r="G30" s="11">
        <f>+$C$30*G11</f>
        <v>80416.800000000017</v>
      </c>
      <c r="H30" s="9">
        <f>G30/$G$15</f>
        <v>2.4725980223348258E-2</v>
      </c>
      <c r="I30" s="11">
        <f>+$C$30*I11</f>
        <v>86132.699999999983</v>
      </c>
      <c r="J30" s="9">
        <f>I30/$I$15</f>
        <v>2.4970197888340647E-2</v>
      </c>
      <c r="K30" s="11">
        <f>+$C$30*K11</f>
        <v>93294</v>
      </c>
      <c r="L30" s="9">
        <f>K30/$K$15</f>
        <v>2.7517999935108797E-2</v>
      </c>
      <c r="M30" s="11">
        <f>+$C$30*M11</f>
        <v>100718.09999999999</v>
      </c>
      <c r="N30" s="9">
        <f>M30/$M$15</f>
        <v>2.7653549836085378E-2</v>
      </c>
      <c r="O30" s="11">
        <f>+$C$30*O11</f>
        <v>108405</v>
      </c>
      <c r="P30" s="9">
        <f>O30/$M$15</f>
        <v>2.9764094735512638E-2</v>
      </c>
      <c r="Q30" s="11">
        <f>+$C$30*Q11</f>
        <v>116354.7</v>
      </c>
      <c r="R30" s="9">
        <f>Q30/$M$15</f>
        <v>3.19467950161169E-2</v>
      </c>
      <c r="S30" s="11">
        <f>+$C$30*S11</f>
        <v>124567.2</v>
      </c>
      <c r="T30" s="9">
        <f>S30/$M$15</f>
        <v>3.4201650677898161E-2</v>
      </c>
      <c r="U30" s="11">
        <f>+$C$30*U11</f>
        <v>133042.5</v>
      </c>
      <c r="V30" s="9">
        <f>U30/$M$15</f>
        <v>3.652866172085642E-2</v>
      </c>
      <c r="W30" s="11">
        <f>+$C$30*W11</f>
        <v>141780.6</v>
      </c>
    </row>
    <row r="31" spans="2:23">
      <c r="C31" s="9"/>
      <c r="D31" s="11"/>
      <c r="E31" s="11"/>
      <c r="F31" s="9"/>
      <c r="G31" s="11"/>
      <c r="H31" s="9"/>
      <c r="I31" s="11"/>
      <c r="J31" s="9"/>
      <c r="K31" s="11"/>
      <c r="L31" s="9"/>
      <c r="M31" s="11"/>
      <c r="N31" s="9"/>
      <c r="O31" s="11"/>
      <c r="P31" s="9"/>
      <c r="Q31" s="11"/>
      <c r="R31" s="9"/>
      <c r="S31" s="11"/>
      <c r="T31" s="9"/>
      <c r="U31" s="11"/>
      <c r="V31" s="9"/>
      <c r="W31" s="11"/>
    </row>
    <row r="32" spans="2:23">
      <c r="B32" s="8" t="s">
        <v>36</v>
      </c>
      <c r="C32" s="11"/>
      <c r="D32" s="11"/>
      <c r="E32" s="11"/>
      <c r="F32" s="9"/>
      <c r="G32" s="11"/>
      <c r="H32" s="9"/>
      <c r="I32" s="11"/>
      <c r="J32" s="9"/>
      <c r="K32" s="11"/>
      <c r="L32" s="9"/>
      <c r="M32" s="11"/>
      <c r="N32" s="9"/>
      <c r="O32" s="11"/>
      <c r="P32" s="9"/>
      <c r="Q32" s="11"/>
      <c r="R32" s="9"/>
      <c r="S32" s="11"/>
      <c r="T32" s="9"/>
      <c r="U32" s="11"/>
      <c r="V32" s="9"/>
      <c r="W32" s="11"/>
    </row>
    <row r="33" spans="1:23">
      <c r="A33" s="20">
        <v>10</v>
      </c>
      <c r="B33" s="1" t="s">
        <v>0</v>
      </c>
      <c r="C33" s="11">
        <v>750</v>
      </c>
      <c r="D33" s="11"/>
      <c r="E33" s="11">
        <f>+$C$33*$A$33*10</f>
        <v>75000</v>
      </c>
      <c r="F33" s="9">
        <f t="shared" ref="F33:F41" si="21">E33/$E$15</f>
        <v>2.5235531628532974E-2</v>
      </c>
      <c r="G33" s="11">
        <f>+$C$33*$A$33*10</f>
        <v>75000</v>
      </c>
      <c r="H33" s="9">
        <f t="shared" ref="H33:H42" si="22">G33/$G$15</f>
        <v>2.3060461455207355E-2</v>
      </c>
      <c r="I33" s="11">
        <f>+$C$33*$A$33*10</f>
        <v>75000</v>
      </c>
      <c r="J33" s="9">
        <f t="shared" ref="J33:J42" si="23">I33/$I$15</f>
        <v>2.1742785743690245E-2</v>
      </c>
      <c r="K33" s="11">
        <f>+$C$33*$A$33*10</f>
        <v>75000</v>
      </c>
      <c r="L33" s="9">
        <f t="shared" ref="L33:L42" si="24">K33/$K$15</f>
        <v>2.2122001362715284E-2</v>
      </c>
      <c r="M33" s="11">
        <f>+$C$33*$A$33*10</f>
        <v>75000</v>
      </c>
      <c r="N33" s="9">
        <f t="shared" ref="N33:N42" si="25">M33/$M$15</f>
        <v>2.0592289148687309E-2</v>
      </c>
      <c r="O33" s="11">
        <f>+$C$33*$A$33*10</f>
        <v>75000</v>
      </c>
      <c r="P33" s="9">
        <f t="shared" ref="P33:P42" si="26">O33/$M$15</f>
        <v>2.0592289148687309E-2</v>
      </c>
      <c r="Q33" s="11">
        <f>+$C$33*$A$33*10</f>
        <v>75000</v>
      </c>
      <c r="R33" s="9">
        <f t="shared" ref="R33:R42" si="27">Q33/$M$15</f>
        <v>2.0592289148687309E-2</v>
      </c>
      <c r="S33" s="11">
        <f>+$C$33*$A$33*10</f>
        <v>75000</v>
      </c>
      <c r="T33" s="9">
        <f t="shared" ref="T33:T42" si="28">S33/$M$15</f>
        <v>2.0592289148687309E-2</v>
      </c>
      <c r="U33" s="11">
        <f>+$C$33*$A$33*10</f>
        <v>75000</v>
      </c>
      <c r="V33" s="9">
        <f t="shared" ref="V33:V42" si="29">U33/$M$15</f>
        <v>2.0592289148687309E-2</v>
      </c>
      <c r="W33" s="11">
        <f>+$C$33*$A$33*10</f>
        <v>75000</v>
      </c>
    </row>
    <row r="34" spans="1:23">
      <c r="B34" s="1" t="s">
        <v>18</v>
      </c>
      <c r="C34" s="11">
        <v>1000</v>
      </c>
      <c r="D34" s="11"/>
      <c r="E34" s="11">
        <f>+$C$34*12</f>
        <v>12000</v>
      </c>
      <c r="F34" s="9">
        <f t="shared" si="21"/>
        <v>4.0376850605652759E-3</v>
      </c>
      <c r="G34" s="11">
        <f>+$C$34*12</f>
        <v>12000</v>
      </c>
      <c r="H34" s="9">
        <f t="shared" si="22"/>
        <v>3.6896738328331771E-3</v>
      </c>
      <c r="I34" s="11">
        <f>+$C$34*12</f>
        <v>12000</v>
      </c>
      <c r="J34" s="9">
        <f t="shared" si="23"/>
        <v>3.4788457189904396E-3</v>
      </c>
      <c r="K34" s="11">
        <f>+$C$34*12</f>
        <v>12000</v>
      </c>
      <c r="L34" s="9">
        <f t="shared" si="24"/>
        <v>3.5395202180344455E-3</v>
      </c>
      <c r="M34" s="11">
        <f>+$C$34*12</f>
        <v>12000</v>
      </c>
      <c r="N34" s="9">
        <f t="shared" si="25"/>
        <v>3.2947662637899697E-3</v>
      </c>
      <c r="O34" s="11">
        <f>+$C$34*12</f>
        <v>12000</v>
      </c>
      <c r="P34" s="9">
        <f t="shared" si="26"/>
        <v>3.2947662637899697E-3</v>
      </c>
      <c r="Q34" s="11">
        <f>+$C$34*12</f>
        <v>12000</v>
      </c>
      <c r="R34" s="9">
        <f t="shared" si="27"/>
        <v>3.2947662637899697E-3</v>
      </c>
      <c r="S34" s="11">
        <f>+$C$34*12</f>
        <v>12000</v>
      </c>
      <c r="T34" s="9">
        <f t="shared" si="28"/>
        <v>3.2947662637899697E-3</v>
      </c>
      <c r="U34" s="11">
        <f>+$C$34*12</f>
        <v>12000</v>
      </c>
      <c r="V34" s="9">
        <f t="shared" si="29"/>
        <v>3.2947662637899697E-3</v>
      </c>
      <c r="W34" s="11">
        <f>+$C$34*12</f>
        <v>12000</v>
      </c>
    </row>
    <row r="35" spans="1:23">
      <c r="B35" s="16" t="s">
        <v>51</v>
      </c>
      <c r="C35" s="11">
        <v>5000</v>
      </c>
      <c r="D35" s="11"/>
      <c r="E35" s="11">
        <f>C35*12</f>
        <v>60000</v>
      </c>
      <c r="F35" s="9">
        <f t="shared" si="21"/>
        <v>2.0188425302826378E-2</v>
      </c>
      <c r="G35" s="11">
        <f>+E35</f>
        <v>60000</v>
      </c>
      <c r="H35" s="9">
        <f t="shared" si="22"/>
        <v>1.8448369164165885E-2</v>
      </c>
      <c r="I35" s="11">
        <f>+G35</f>
        <v>60000</v>
      </c>
      <c r="J35" s="9">
        <f t="shared" si="23"/>
        <v>1.7394228594952196E-2</v>
      </c>
      <c r="K35" s="11">
        <f>+I35</f>
        <v>60000</v>
      </c>
      <c r="L35" s="9">
        <f t="shared" si="24"/>
        <v>1.7697601090172228E-2</v>
      </c>
      <c r="M35" s="11">
        <f>+K35</f>
        <v>60000</v>
      </c>
      <c r="N35" s="9">
        <f t="shared" si="25"/>
        <v>1.6473831318949847E-2</v>
      </c>
      <c r="O35" s="11">
        <f>+M35</f>
        <v>60000</v>
      </c>
      <c r="P35" s="9">
        <f t="shared" si="26"/>
        <v>1.6473831318949847E-2</v>
      </c>
      <c r="Q35" s="11">
        <f>+O35</f>
        <v>60000</v>
      </c>
      <c r="R35" s="9">
        <f t="shared" si="27"/>
        <v>1.6473831318949847E-2</v>
      </c>
      <c r="S35" s="11">
        <f>+Q35</f>
        <v>60000</v>
      </c>
      <c r="T35" s="9">
        <f t="shared" si="28"/>
        <v>1.6473831318949847E-2</v>
      </c>
      <c r="U35" s="11">
        <f>+S35</f>
        <v>60000</v>
      </c>
      <c r="V35" s="9">
        <f t="shared" si="29"/>
        <v>1.6473831318949847E-2</v>
      </c>
      <c r="W35" s="11">
        <f>+U35</f>
        <v>60000</v>
      </c>
    </row>
    <row r="36" spans="1:23">
      <c r="B36" s="1" t="s">
        <v>31</v>
      </c>
      <c r="C36" s="11">
        <v>2500</v>
      </c>
      <c r="D36" s="11"/>
      <c r="E36" s="11">
        <f>C36*12</f>
        <v>30000</v>
      </c>
      <c r="F36" s="9">
        <f t="shared" si="21"/>
        <v>1.0094212651413189E-2</v>
      </c>
      <c r="G36" s="11">
        <f>$C$36*12</f>
        <v>30000</v>
      </c>
      <c r="H36" s="9">
        <f t="shared" si="22"/>
        <v>9.2241845820829425E-3</v>
      </c>
      <c r="I36" s="11">
        <f t="shared" ref="I36:W36" si="30">$C$36*12</f>
        <v>30000</v>
      </c>
      <c r="J36" s="9">
        <f t="shared" si="23"/>
        <v>8.6971142974760982E-3</v>
      </c>
      <c r="K36" s="11">
        <f t="shared" si="30"/>
        <v>30000</v>
      </c>
      <c r="L36" s="9">
        <f t="shared" si="24"/>
        <v>8.8488005450861138E-3</v>
      </c>
      <c r="M36" s="11">
        <f t="shared" si="30"/>
        <v>30000</v>
      </c>
      <c r="N36" s="9">
        <f t="shared" si="25"/>
        <v>8.2369156594749235E-3</v>
      </c>
      <c r="O36" s="11">
        <f t="shared" si="30"/>
        <v>30000</v>
      </c>
      <c r="P36" s="9">
        <f t="shared" si="26"/>
        <v>8.2369156594749235E-3</v>
      </c>
      <c r="Q36" s="11">
        <f t="shared" si="30"/>
        <v>30000</v>
      </c>
      <c r="R36" s="9">
        <f t="shared" si="27"/>
        <v>8.2369156594749235E-3</v>
      </c>
      <c r="S36" s="11">
        <f t="shared" si="30"/>
        <v>30000</v>
      </c>
      <c r="T36" s="9">
        <f t="shared" si="28"/>
        <v>8.2369156594749235E-3</v>
      </c>
      <c r="U36" s="11">
        <f t="shared" si="30"/>
        <v>30000</v>
      </c>
      <c r="V36" s="9">
        <f t="shared" si="29"/>
        <v>8.2369156594749235E-3</v>
      </c>
      <c r="W36" s="11">
        <f t="shared" si="30"/>
        <v>30000</v>
      </c>
    </row>
    <row r="37" spans="1:23">
      <c r="B37" s="1" t="s">
        <v>19</v>
      </c>
      <c r="C37" s="11">
        <v>300</v>
      </c>
      <c r="D37" s="11"/>
      <c r="E37" s="11">
        <f>+$C$37*12</f>
        <v>3600</v>
      </c>
      <c r="F37" s="9">
        <f t="shared" si="21"/>
        <v>1.2113055181695827E-3</v>
      </c>
      <c r="G37" s="11">
        <f>+$C$37*12</f>
        <v>3600</v>
      </c>
      <c r="H37" s="9">
        <f t="shared" si="22"/>
        <v>1.1069021498499531E-3</v>
      </c>
      <c r="I37" s="11">
        <f>+$C$37*12</f>
        <v>3600</v>
      </c>
      <c r="J37" s="9">
        <f t="shared" si="23"/>
        <v>1.0436537156971318E-3</v>
      </c>
      <c r="K37" s="11">
        <f>+$C$37*12</f>
        <v>3600</v>
      </c>
      <c r="L37" s="9">
        <f t="shared" si="24"/>
        <v>1.0618560654103335E-3</v>
      </c>
      <c r="M37" s="11">
        <f>+$C$37*12</f>
        <v>3600</v>
      </c>
      <c r="N37" s="9">
        <f t="shared" si="25"/>
        <v>9.8842987913699094E-4</v>
      </c>
      <c r="O37" s="11">
        <f>+$C$37*12</f>
        <v>3600</v>
      </c>
      <c r="P37" s="9">
        <f t="shared" si="26"/>
        <v>9.8842987913699094E-4</v>
      </c>
      <c r="Q37" s="11">
        <f>+$C$37*12</f>
        <v>3600</v>
      </c>
      <c r="R37" s="9">
        <f t="shared" si="27"/>
        <v>9.8842987913699094E-4</v>
      </c>
      <c r="S37" s="11">
        <f>+$C$37*12</f>
        <v>3600</v>
      </c>
      <c r="T37" s="9">
        <f t="shared" si="28"/>
        <v>9.8842987913699094E-4</v>
      </c>
      <c r="U37" s="11">
        <f>+$C$37*12</f>
        <v>3600</v>
      </c>
      <c r="V37" s="9">
        <f t="shared" si="29"/>
        <v>9.8842987913699094E-4</v>
      </c>
      <c r="W37" s="11">
        <f>+$C$37*12</f>
        <v>3600</v>
      </c>
    </row>
    <row r="38" spans="1:23">
      <c r="B38" s="1" t="s">
        <v>32</v>
      </c>
      <c r="C38" s="11">
        <v>750</v>
      </c>
      <c r="D38" s="14"/>
      <c r="E38" s="11">
        <f>+$C$38*12</f>
        <v>9000</v>
      </c>
      <c r="F38" s="9">
        <f t="shared" si="21"/>
        <v>3.028263795423957E-3</v>
      </c>
      <c r="G38" s="11">
        <f>+$C$38*12</f>
        <v>9000</v>
      </c>
      <c r="H38" s="9">
        <f t="shared" si="22"/>
        <v>2.7672553746248829E-3</v>
      </c>
      <c r="I38" s="11">
        <f>+$C$38*12</f>
        <v>9000</v>
      </c>
      <c r="J38" s="9">
        <f t="shared" si="23"/>
        <v>2.6091342892428297E-3</v>
      </c>
      <c r="K38" s="11">
        <f>+$C$38*12</f>
        <v>9000</v>
      </c>
      <c r="L38" s="9">
        <f t="shared" si="24"/>
        <v>2.6546401635258341E-3</v>
      </c>
      <c r="M38" s="11">
        <f>+$C$38*12</f>
        <v>9000</v>
      </c>
      <c r="N38" s="9">
        <f t="shared" si="25"/>
        <v>2.4710746978424771E-3</v>
      </c>
      <c r="O38" s="11">
        <f>+$C$38*12</f>
        <v>9000</v>
      </c>
      <c r="P38" s="9">
        <f t="shared" si="26"/>
        <v>2.4710746978424771E-3</v>
      </c>
      <c r="Q38" s="11">
        <f>+$C$38*12</f>
        <v>9000</v>
      </c>
      <c r="R38" s="9">
        <f t="shared" si="27"/>
        <v>2.4710746978424771E-3</v>
      </c>
      <c r="S38" s="11">
        <f>+$C$38*12</f>
        <v>9000</v>
      </c>
      <c r="T38" s="9">
        <f t="shared" si="28"/>
        <v>2.4710746978424771E-3</v>
      </c>
      <c r="U38" s="11">
        <f>+$C$38*12</f>
        <v>9000</v>
      </c>
      <c r="V38" s="9">
        <f t="shared" si="29"/>
        <v>2.4710746978424771E-3</v>
      </c>
      <c r="W38" s="11">
        <f>+$C$38*12</f>
        <v>9000</v>
      </c>
    </row>
    <row r="39" spans="1:23">
      <c r="B39" s="1" t="s">
        <v>1</v>
      </c>
      <c r="C39" s="11">
        <v>40000</v>
      </c>
      <c r="D39" s="11"/>
      <c r="E39" s="11">
        <f>+C39</f>
        <v>40000</v>
      </c>
      <c r="F39" s="9">
        <f t="shared" si="21"/>
        <v>1.3458950201884253E-2</v>
      </c>
      <c r="G39" s="11">
        <f>+E39</f>
        <v>40000</v>
      </c>
      <c r="H39" s="9">
        <f t="shared" si="22"/>
        <v>1.2298912776110589E-2</v>
      </c>
      <c r="I39" s="11">
        <f>+G39</f>
        <v>40000</v>
      </c>
      <c r="J39" s="9">
        <f t="shared" si="23"/>
        <v>1.1596152396634798E-2</v>
      </c>
      <c r="K39" s="11">
        <f>+I39</f>
        <v>40000</v>
      </c>
      <c r="L39" s="9">
        <f t="shared" si="24"/>
        <v>1.1798400726781485E-2</v>
      </c>
      <c r="M39" s="11">
        <f>+K39</f>
        <v>40000</v>
      </c>
      <c r="N39" s="9">
        <f t="shared" si="25"/>
        <v>1.0982554212633232E-2</v>
      </c>
      <c r="O39" s="11">
        <f>+M39</f>
        <v>40000</v>
      </c>
      <c r="P39" s="9">
        <f t="shared" si="26"/>
        <v>1.0982554212633232E-2</v>
      </c>
      <c r="Q39" s="11">
        <f>+O39</f>
        <v>40000</v>
      </c>
      <c r="R39" s="9">
        <f t="shared" si="27"/>
        <v>1.0982554212633232E-2</v>
      </c>
      <c r="S39" s="11">
        <f>+Q39</f>
        <v>40000</v>
      </c>
      <c r="T39" s="9">
        <f t="shared" si="28"/>
        <v>1.0982554212633232E-2</v>
      </c>
      <c r="U39" s="11">
        <f>+S39</f>
        <v>40000</v>
      </c>
      <c r="V39" s="9">
        <f t="shared" si="29"/>
        <v>1.0982554212633232E-2</v>
      </c>
      <c r="W39" s="11">
        <f>+U39</f>
        <v>40000</v>
      </c>
    </row>
    <row r="40" spans="1:23">
      <c r="B40" s="1" t="s">
        <v>17</v>
      </c>
      <c r="C40" s="11">
        <v>30</v>
      </c>
      <c r="D40" s="11"/>
      <c r="E40" s="11">
        <f>+$C$40*12</f>
        <v>360</v>
      </c>
      <c r="F40" s="9">
        <f t="shared" si="21"/>
        <v>1.2113055181695827E-4</v>
      </c>
      <c r="G40" s="11">
        <f>+$C$40*12</f>
        <v>360</v>
      </c>
      <c r="H40" s="9">
        <f t="shared" si="22"/>
        <v>1.1069021498499531E-4</v>
      </c>
      <c r="I40" s="11">
        <f>+$C$40*12</f>
        <v>360</v>
      </c>
      <c r="J40" s="9">
        <f t="shared" si="23"/>
        <v>1.0436537156971318E-4</v>
      </c>
      <c r="K40" s="11">
        <f>+$C$40*12</f>
        <v>360</v>
      </c>
      <c r="L40" s="9">
        <f t="shared" si="24"/>
        <v>1.0618560654103337E-4</v>
      </c>
      <c r="M40" s="11">
        <f>+$C$40*12</f>
        <v>360</v>
      </c>
      <c r="N40" s="9">
        <f t="shared" si="25"/>
        <v>9.8842987913699089E-5</v>
      </c>
      <c r="O40" s="11">
        <f>+$C$40*12</f>
        <v>360</v>
      </c>
      <c r="P40" s="9">
        <f t="shared" si="26"/>
        <v>9.8842987913699089E-5</v>
      </c>
      <c r="Q40" s="11">
        <f>+$C$40*12</f>
        <v>360</v>
      </c>
      <c r="R40" s="9">
        <f t="shared" si="27"/>
        <v>9.8842987913699089E-5</v>
      </c>
      <c r="S40" s="11">
        <f>+$C$40*12</f>
        <v>360</v>
      </c>
      <c r="T40" s="9">
        <f t="shared" si="28"/>
        <v>9.8842987913699089E-5</v>
      </c>
      <c r="U40" s="11">
        <f>+$C$40*12</f>
        <v>360</v>
      </c>
      <c r="V40" s="9">
        <f t="shared" si="29"/>
        <v>9.8842987913699089E-5</v>
      </c>
      <c r="W40" s="11">
        <f>+$C$40*12</f>
        <v>360</v>
      </c>
    </row>
    <row r="41" spans="1:23">
      <c r="B41" s="1" t="s">
        <v>16</v>
      </c>
      <c r="C41" s="11">
        <v>900</v>
      </c>
      <c r="D41" s="11"/>
      <c r="E41" s="11">
        <f>+$C$41*12</f>
        <v>10800</v>
      </c>
      <c r="F41" s="9">
        <f t="shared" si="21"/>
        <v>3.6339165545087484E-3</v>
      </c>
      <c r="G41" s="11">
        <f>+$C$41*12</f>
        <v>10800</v>
      </c>
      <c r="H41" s="9">
        <f t="shared" si="22"/>
        <v>3.3207064495498592E-3</v>
      </c>
      <c r="I41" s="11">
        <f>+$C$41*12</f>
        <v>10800</v>
      </c>
      <c r="J41" s="9">
        <f t="shared" si="23"/>
        <v>3.1309611470913953E-3</v>
      </c>
      <c r="K41" s="11">
        <f>+$C$41*12</f>
        <v>10800</v>
      </c>
      <c r="L41" s="9">
        <f t="shared" si="24"/>
        <v>3.1855681962310008E-3</v>
      </c>
      <c r="M41" s="11">
        <f>+$C$41*12</f>
        <v>10800</v>
      </c>
      <c r="N41" s="9">
        <f t="shared" si="25"/>
        <v>2.9652896374109728E-3</v>
      </c>
      <c r="O41" s="11">
        <f>+$C$41*12</f>
        <v>10800</v>
      </c>
      <c r="P41" s="9">
        <f t="shared" si="26"/>
        <v>2.9652896374109728E-3</v>
      </c>
      <c r="Q41" s="11">
        <f>+$C$41*12</f>
        <v>10800</v>
      </c>
      <c r="R41" s="9">
        <f t="shared" si="27"/>
        <v>2.9652896374109728E-3</v>
      </c>
      <c r="S41" s="11">
        <f>+$C$41*12</f>
        <v>10800</v>
      </c>
      <c r="T41" s="9">
        <f t="shared" si="28"/>
        <v>2.9652896374109728E-3</v>
      </c>
      <c r="U41" s="11">
        <f>+$C$41*12</f>
        <v>10800</v>
      </c>
      <c r="V41" s="9">
        <f t="shared" si="29"/>
        <v>2.9652896374109728E-3</v>
      </c>
      <c r="W41" s="11">
        <f>+$C$41*12</f>
        <v>10800</v>
      </c>
    </row>
    <row r="42" spans="1:23">
      <c r="B42" s="1" t="s">
        <v>39</v>
      </c>
      <c r="C42" s="11">
        <v>15000</v>
      </c>
      <c r="D42" s="11"/>
      <c r="E42" s="11">
        <f>C42</f>
        <v>15000</v>
      </c>
      <c r="F42" s="9">
        <f>E42/$E$15</f>
        <v>5.0471063257065945E-3</v>
      </c>
      <c r="G42" s="11">
        <f>C42</f>
        <v>15000</v>
      </c>
      <c r="H42" s="9">
        <f t="shared" si="22"/>
        <v>4.6120922910414712E-3</v>
      </c>
      <c r="I42" s="11">
        <f>C42</f>
        <v>15000</v>
      </c>
      <c r="J42" s="9">
        <f t="shared" si="23"/>
        <v>4.3485571487380491E-3</v>
      </c>
      <c r="K42" s="11">
        <f>C42</f>
        <v>15000</v>
      </c>
      <c r="L42" s="9">
        <f t="shared" si="24"/>
        <v>4.4244002725430569E-3</v>
      </c>
      <c r="M42" s="11">
        <f>C42</f>
        <v>15000</v>
      </c>
      <c r="N42" s="9">
        <f t="shared" si="25"/>
        <v>4.1184578297374617E-3</v>
      </c>
      <c r="O42" s="11">
        <f>E42</f>
        <v>15000</v>
      </c>
      <c r="P42" s="9">
        <f t="shared" si="26"/>
        <v>4.1184578297374617E-3</v>
      </c>
      <c r="Q42" s="11">
        <f>G42</f>
        <v>15000</v>
      </c>
      <c r="R42" s="9">
        <f t="shared" si="27"/>
        <v>4.1184578297374617E-3</v>
      </c>
      <c r="S42" s="11">
        <f>I42</f>
        <v>15000</v>
      </c>
      <c r="T42" s="9">
        <f t="shared" si="28"/>
        <v>4.1184578297374617E-3</v>
      </c>
      <c r="U42" s="11">
        <f>K42</f>
        <v>15000</v>
      </c>
      <c r="V42" s="9">
        <f t="shared" si="29"/>
        <v>4.1184578297374617E-3</v>
      </c>
      <c r="W42" s="11">
        <f>M42</f>
        <v>15000</v>
      </c>
    </row>
    <row r="43" spans="1:23">
      <c r="C43" s="11"/>
      <c r="D43" s="11"/>
      <c r="E43" s="11"/>
      <c r="F43" s="9"/>
      <c r="G43" s="11"/>
      <c r="H43" s="9"/>
      <c r="I43" s="11"/>
      <c r="J43" s="9"/>
      <c r="K43" s="11"/>
      <c r="L43" s="9"/>
      <c r="M43" s="11"/>
      <c r="N43" s="9"/>
      <c r="O43" s="11"/>
      <c r="P43" s="9"/>
      <c r="Q43" s="11"/>
      <c r="R43" s="9"/>
      <c r="S43" s="11"/>
      <c r="T43" s="9"/>
      <c r="U43" s="11"/>
      <c r="V43" s="9"/>
      <c r="W43" s="11"/>
    </row>
    <row r="44" spans="1:23" s="8" customFormat="1">
      <c r="B44" s="8" t="s">
        <v>37</v>
      </c>
      <c r="E44" s="8">
        <f>SUM(E20:E42)</f>
        <v>1201608.75</v>
      </c>
      <c r="F44" s="9">
        <f>E44/$E$15</f>
        <v>0.4043098082099596</v>
      </c>
      <c r="G44" s="8">
        <f>SUM(G20:G42)</f>
        <v>1262436.0000000002</v>
      </c>
      <c r="H44" s="9">
        <f>G44/$G$15</f>
        <v>0.3881647562355488</v>
      </c>
      <c r="I44" s="8">
        <f>SUM(I20:I42)</f>
        <v>1295669.2499999998</v>
      </c>
      <c r="J44" s="9">
        <f>I44/$I$15</f>
        <v>0.37561945196583774</v>
      </c>
      <c r="K44" s="8">
        <f>SUM(K20:K42)</f>
        <v>1188852</v>
      </c>
      <c r="L44" s="9">
        <f>K44/$K$15</f>
        <v>0.35066380752089055</v>
      </c>
      <c r="M44" s="8">
        <f>SUM(M20:M42)</f>
        <v>1234239.75</v>
      </c>
      <c r="N44" s="9">
        <f>M44/$M$15</f>
        <v>0.33887762414404721</v>
      </c>
      <c r="O44" s="8">
        <f>SUM(O20:O42)</f>
        <v>1280722.5</v>
      </c>
      <c r="P44" s="9">
        <f>O44/$M$15</f>
        <v>0.3516401071897291</v>
      </c>
      <c r="Q44" s="8">
        <f>SUM(Q20:Q42)</f>
        <v>1328300.25</v>
      </c>
      <c r="R44" s="9">
        <f>Q44/$M$15</f>
        <v>0.36470323765698187</v>
      </c>
      <c r="S44" s="8">
        <f>SUM(S20:S42)</f>
        <v>1376973</v>
      </c>
      <c r="T44" s="9">
        <f>S44/$M$15</f>
        <v>0.37806701554580546</v>
      </c>
      <c r="U44" s="8">
        <f>SUM(U20:U42)</f>
        <v>1426740.75</v>
      </c>
      <c r="V44" s="9">
        <f>U44/$M$15</f>
        <v>0.39173144085619993</v>
      </c>
      <c r="W44" s="8">
        <f>SUM(W20:W42)</f>
        <v>1477603.5</v>
      </c>
    </row>
    <row r="45" spans="1:23" s="8" customFormat="1">
      <c r="B45" s="8" t="s">
        <v>38</v>
      </c>
      <c r="E45" s="8">
        <f>+E44/12</f>
        <v>100134.0625</v>
      </c>
      <c r="F45" s="9">
        <f>E45/$E$15</f>
        <v>3.3692484017496638E-2</v>
      </c>
      <c r="G45" s="8">
        <f>+G44/12</f>
        <v>105203.00000000001</v>
      </c>
      <c r="H45" s="9">
        <f t="shared" ref="H45" si="31">G45/$G$15</f>
        <v>3.2347063019629065E-2</v>
      </c>
      <c r="I45" s="8">
        <f>+I44/12</f>
        <v>107972.43749999999</v>
      </c>
      <c r="J45" s="9">
        <f t="shared" ref="J45" si="32">I45/$I$15</f>
        <v>3.1301620997153147E-2</v>
      </c>
      <c r="K45" s="8">
        <f t="shared" ref="I45:M45" si="33">+K44/12</f>
        <v>99071</v>
      </c>
      <c r="L45" s="9">
        <f t="shared" ref="L45" si="34">K45/$K$15</f>
        <v>2.9221983960074211E-2</v>
      </c>
      <c r="M45" s="8">
        <f t="shared" si="33"/>
        <v>102853.3125</v>
      </c>
      <c r="N45" s="9">
        <f>M45/$M$15</f>
        <v>2.823980201200393E-2</v>
      </c>
      <c r="O45" s="8">
        <f t="shared" ref="O45:P45" si="35">+O44/12</f>
        <v>106726.875</v>
      </c>
      <c r="P45" s="9">
        <f>O45/$M$15</f>
        <v>2.9303342265810758E-2</v>
      </c>
      <c r="Q45" s="8">
        <f t="shared" ref="Q45:R45" si="36">+Q44/12</f>
        <v>110691.6875</v>
      </c>
      <c r="R45" s="9">
        <f>Q45/$M$15</f>
        <v>3.0391936471415158E-2</v>
      </c>
      <c r="S45" s="8">
        <f t="shared" ref="S45:T45" si="37">+S44/12</f>
        <v>114747.75</v>
      </c>
      <c r="T45" s="9">
        <f>S45/$M$15</f>
        <v>3.1505584628817127E-2</v>
      </c>
      <c r="U45" s="8">
        <f t="shared" ref="U45:V45" si="38">+U44/12</f>
        <v>118895.0625</v>
      </c>
      <c r="V45" s="9">
        <f>U45/$M$15</f>
        <v>3.2644286738016663E-2</v>
      </c>
      <c r="W45" s="8">
        <f t="shared" ref="W45" si="39">+W44/12</f>
        <v>123133.625</v>
      </c>
    </row>
    <row r="46" spans="1:23">
      <c r="F46" s="9"/>
      <c r="H46" s="9"/>
      <c r="J46" s="9"/>
      <c r="L46" s="9"/>
    </row>
    <row r="47" spans="1:23" s="8" customFormat="1">
      <c r="B47" s="8" t="s">
        <v>26</v>
      </c>
      <c r="E47" s="8">
        <f>+E15-E44</f>
        <v>1770391.25</v>
      </c>
      <c r="F47" s="15">
        <f t="shared" ref="F47:F50" si="40">E47/$E$15</f>
        <v>0.59569019179004035</v>
      </c>
      <c r="G47" s="8">
        <f>+G15-G44</f>
        <v>1989884.0000000002</v>
      </c>
      <c r="H47" s="15">
        <f t="shared" ref="H47:H50" si="41">G47/$G$15</f>
        <v>0.6118352437644512</v>
      </c>
      <c r="I47" s="8">
        <f>+I15-I44</f>
        <v>2153750.75</v>
      </c>
      <c r="J47" s="15">
        <f>I47/$I$15</f>
        <v>0.62438054803416232</v>
      </c>
      <c r="K47" s="8">
        <f>+K15-K44</f>
        <v>2201438</v>
      </c>
      <c r="L47" s="15">
        <f>K47/$K$15</f>
        <v>0.64933619247910945</v>
      </c>
      <c r="M47" s="8">
        <f>+M15-M44</f>
        <v>2407900.25</v>
      </c>
      <c r="N47" s="15">
        <f t="shared" ref="N47:N50" si="42">M47/$M$15</f>
        <v>0.66112237585595279</v>
      </c>
      <c r="O47" s="8">
        <f>+O15-O44</f>
        <v>2622027.5</v>
      </c>
      <c r="P47" s="15">
        <f t="shared" ref="P47:P50" si="43">O47/$M$15</f>
        <v>0.71991397914412958</v>
      </c>
      <c r="Q47" s="8">
        <f>+Q15-Q44</f>
        <v>2843819.75</v>
      </c>
      <c r="R47" s="15">
        <f t="shared" ref="R47:R50" si="44">Q47/$M$15</f>
        <v>0.78081011438330217</v>
      </c>
      <c r="S47" s="8">
        <f>+S15-S44</f>
        <v>3073277</v>
      </c>
      <c r="T47" s="15">
        <f t="shared" ref="T47:T50" si="45">S47/$M$15</f>
        <v>0.84381078157347056</v>
      </c>
      <c r="U47" s="8">
        <f>+U15-U44</f>
        <v>3310399.25</v>
      </c>
      <c r="V47" s="15">
        <f t="shared" ref="V47:V50" si="46">U47/$M$15</f>
        <v>0.90891598071463475</v>
      </c>
      <c r="W47" s="8">
        <f>+W15-W44</f>
        <v>3555186.5</v>
      </c>
    </row>
    <row r="48" spans="1:23" s="8" customFormat="1">
      <c r="B48" s="8" t="s">
        <v>43</v>
      </c>
      <c r="C48" s="15">
        <v>0.05</v>
      </c>
      <c r="D48" s="13"/>
      <c r="E48" s="8">
        <f>E15*0.05</f>
        <v>148600</v>
      </c>
      <c r="F48" s="15">
        <v>0.05</v>
      </c>
      <c r="G48" s="8">
        <f>G15*0.05</f>
        <v>162616.00000000003</v>
      </c>
      <c r="H48" s="15">
        <v>0.05</v>
      </c>
      <c r="I48" s="8">
        <f>I15*0.05</f>
        <v>172471</v>
      </c>
      <c r="J48" s="15">
        <v>0.05</v>
      </c>
      <c r="K48" s="8">
        <f>K15*0.05</f>
        <v>169514.5</v>
      </c>
      <c r="L48" s="15">
        <v>0.05</v>
      </c>
      <c r="M48" s="8">
        <f>M15*0.05</f>
        <v>182107</v>
      </c>
      <c r="N48" s="15">
        <v>0.05</v>
      </c>
      <c r="O48" s="8">
        <f>O15*0.05</f>
        <v>195137.5</v>
      </c>
      <c r="P48" s="15">
        <v>0.05</v>
      </c>
      <c r="Q48" s="8">
        <f>Q15*0.05</f>
        <v>208606</v>
      </c>
      <c r="R48" s="15">
        <v>0.05</v>
      </c>
      <c r="S48" s="8">
        <f>S15*0.05</f>
        <v>222512.5</v>
      </c>
      <c r="T48" s="15">
        <v>0.05</v>
      </c>
      <c r="U48" s="8">
        <f>U15*0.05</f>
        <v>236857</v>
      </c>
      <c r="V48" s="15">
        <v>0.05</v>
      </c>
      <c r="W48" s="8">
        <f>W15*0.05</f>
        <v>251639.5</v>
      </c>
    </row>
    <row r="49" spans="2:23" s="8" customFormat="1">
      <c r="B49" s="8" t="s">
        <v>49</v>
      </c>
      <c r="C49" s="15">
        <v>0.1</v>
      </c>
      <c r="D49" s="13"/>
      <c r="E49" s="8">
        <f>E47*0.1</f>
        <v>177039.125</v>
      </c>
      <c r="F49" s="15">
        <v>0.1</v>
      </c>
      <c r="G49" s="8">
        <f>G47*0.1</f>
        <v>198988.40000000002</v>
      </c>
      <c r="H49" s="15">
        <v>0.1</v>
      </c>
      <c r="I49" s="8">
        <f>I47*0.1</f>
        <v>215375.07500000001</v>
      </c>
      <c r="J49" s="15">
        <v>0.1</v>
      </c>
      <c r="K49" s="8">
        <f>K47*0.1</f>
        <v>220143.80000000002</v>
      </c>
      <c r="L49" s="15">
        <v>0.1</v>
      </c>
      <c r="M49" s="8">
        <f>M47*0.1</f>
        <v>240790.02500000002</v>
      </c>
      <c r="N49" s="15">
        <v>0.1</v>
      </c>
      <c r="O49" s="8">
        <f>O47*0.1</f>
        <v>262202.75</v>
      </c>
      <c r="P49" s="15">
        <v>0.1</v>
      </c>
      <c r="Q49" s="8">
        <f>Q47*0.1</f>
        <v>284381.97500000003</v>
      </c>
      <c r="R49" s="15">
        <v>0.1</v>
      </c>
      <c r="S49" s="8">
        <f>S47*0.1</f>
        <v>307327.7</v>
      </c>
      <c r="T49" s="15">
        <v>0.1</v>
      </c>
      <c r="U49" s="8">
        <f>U47*0.1</f>
        <v>331039.92500000005</v>
      </c>
      <c r="V49" s="15">
        <v>0.1</v>
      </c>
      <c r="W49" s="8">
        <f>W47*0.1</f>
        <v>355518.65</v>
      </c>
    </row>
    <row r="50" spans="2:23" s="8" customFormat="1">
      <c r="B50" s="8" t="s">
        <v>28</v>
      </c>
      <c r="E50" s="8">
        <f>E47-E48-E49</f>
        <v>1444752.125</v>
      </c>
      <c r="F50" s="15">
        <f t="shared" si="40"/>
        <v>0.48612117261103632</v>
      </c>
      <c r="G50" s="8">
        <f>G47-G48-G49</f>
        <v>1628279.6</v>
      </c>
      <c r="H50" s="15">
        <f t="shared" ref="H50" si="47">G50/$E$15</f>
        <v>0.54787335127860026</v>
      </c>
      <c r="I50" s="8">
        <f>I47-I48-I49</f>
        <v>1765904.675</v>
      </c>
      <c r="J50" s="15">
        <f t="shared" ref="J50" si="48">I50/$E$15</f>
        <v>0.59418057705248994</v>
      </c>
      <c r="K50" s="8">
        <f>K47-K48-K49</f>
        <v>1811779.7</v>
      </c>
      <c r="L50" s="15">
        <f t="shared" ref="L50" si="49">K50/$E$15</f>
        <v>0.60961631897711976</v>
      </c>
      <c r="M50" s="8">
        <f>M47-M48-M49</f>
        <v>1985003.2250000001</v>
      </c>
      <c r="N50" s="15">
        <f t="shared" ref="N50" si="50">M50/$E$15</f>
        <v>0.66790148889636614</v>
      </c>
      <c r="O50" s="8">
        <f>O47-O48-O49</f>
        <v>2164687.25</v>
      </c>
      <c r="P50" s="15">
        <f t="shared" ref="P50" si="51">O50/$E$15</f>
        <v>0.72836044751009421</v>
      </c>
      <c r="Q50" s="8">
        <f>Q47-Q48-Q49</f>
        <v>2350831.7749999999</v>
      </c>
      <c r="R50" s="15">
        <f t="shared" ref="R50" si="52">Q50/$E$15</f>
        <v>0.7909931948183041</v>
      </c>
      <c r="S50" s="8">
        <f>S47-S48-S49</f>
        <v>2543436.7999999998</v>
      </c>
      <c r="T50" s="15">
        <f t="shared" ref="T50" si="53">S50/$E$15</f>
        <v>0.85579973082099592</v>
      </c>
      <c r="U50" s="8">
        <f>U47-U48-U49</f>
        <v>2742502.3250000002</v>
      </c>
      <c r="V50" s="15">
        <f t="shared" ref="V50" si="54">U50/$E$15</f>
        <v>0.92278005551816966</v>
      </c>
      <c r="W50" s="8">
        <f>W47-W48-W49</f>
        <v>2948028.35</v>
      </c>
    </row>
    <row r="51" spans="2:23">
      <c r="B51" s="24" t="s">
        <v>52</v>
      </c>
      <c r="C51" s="25">
        <v>7200000</v>
      </c>
      <c r="W51" s="1" t="e">
        <f>#REF!+#REF!</f>
        <v>#REF!</v>
      </c>
    </row>
    <row r="52" spans="2:23">
      <c r="B52" s="24" t="s">
        <v>53</v>
      </c>
      <c r="C52" s="25" t="s">
        <v>54</v>
      </c>
    </row>
    <row r="53" spans="2:23">
      <c r="B53" s="24" t="s">
        <v>55</v>
      </c>
      <c r="C53" s="25">
        <f>M50*5</f>
        <v>9925016.125</v>
      </c>
      <c r="D53" s="3"/>
    </row>
    <row r="54" spans="2:23">
      <c r="B54" s="22" t="s">
        <v>56</v>
      </c>
      <c r="C54" s="23">
        <f>C53-C51</f>
        <v>2725016.125</v>
      </c>
    </row>
  </sheetData>
  <mergeCells count="1">
    <mergeCell ref="C13:D13"/>
  </mergeCells>
  <phoneticPr fontId="7" alignment="center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09B8-17DC-6847-9566-7DB3BF331031}">
  <dimension ref="A1:W54"/>
  <sheetViews>
    <sheetView tabSelected="1" zoomScale="92" zoomScaleNormal="75" workbookViewId="0">
      <selection activeCell="C59" sqref="C59"/>
    </sheetView>
  </sheetViews>
  <sheetFormatPr defaultColWidth="10.8515625" defaultRowHeight="15.75"/>
  <cols>
    <col min="1" max="1" width="10.8515625" style="1"/>
    <col min="2" max="2" width="41.5546875" style="1" bestFit="1" customWidth="1"/>
    <col min="3" max="5" width="13.6875" style="1" bestFit="1" customWidth="1"/>
    <col min="6" max="6" width="7.2734375" style="1" bestFit="1" customWidth="1"/>
    <col min="7" max="7" width="12.82421875" style="1" bestFit="1" customWidth="1"/>
    <col min="8" max="8" width="5.17578125" style="1" bestFit="1" customWidth="1"/>
    <col min="9" max="9" width="12.82421875" style="1" bestFit="1" customWidth="1"/>
    <col min="10" max="10" width="5.17578125" style="1" bestFit="1" customWidth="1"/>
    <col min="11" max="11" width="12.82421875" style="1" bestFit="1" customWidth="1"/>
    <col min="12" max="12" width="5.17578125" style="1" bestFit="1" customWidth="1"/>
    <col min="13" max="13" width="12.82421875" style="1" bestFit="1" customWidth="1"/>
    <col min="14" max="14" width="5.17578125" style="1" bestFit="1" customWidth="1"/>
    <col min="15" max="15" width="12.82421875" style="1" bestFit="1" customWidth="1"/>
    <col min="16" max="16" width="5.17578125" style="1" bestFit="1" customWidth="1"/>
    <col min="17" max="17" width="12.82421875" style="1" bestFit="1" customWidth="1"/>
    <col min="18" max="18" width="5.17578125" style="1" bestFit="1" customWidth="1"/>
    <col min="19" max="19" width="12.82421875" style="1" bestFit="1" customWidth="1"/>
    <col min="20" max="20" width="5.17578125" style="1" bestFit="1" customWidth="1"/>
    <col min="21" max="21" width="12.82421875" style="1" bestFit="1" customWidth="1"/>
    <col min="22" max="22" width="5.17578125" style="1" bestFit="1" customWidth="1"/>
    <col min="23" max="23" width="13.6875" style="1" bestFit="1" customWidth="1"/>
    <col min="24" max="16384" width="10.8515625" style="1"/>
  </cols>
  <sheetData>
    <row r="1" spans="2:23" ht="16.5" thickBot="1"/>
    <row r="2" spans="2:23">
      <c r="B2" s="2" t="s">
        <v>3</v>
      </c>
      <c r="C2" s="17">
        <v>120</v>
      </c>
      <c r="D2" s="3"/>
    </row>
    <row r="3" spans="2:23">
      <c r="B3" s="4" t="s">
        <v>4</v>
      </c>
      <c r="C3" s="18">
        <v>365</v>
      </c>
      <c r="D3" s="3"/>
    </row>
    <row r="4" spans="2:23" ht="16.5" thickBot="1">
      <c r="B4" s="5" t="s">
        <v>5</v>
      </c>
      <c r="C4" s="19">
        <f>+C3*C2</f>
        <v>43800</v>
      </c>
      <c r="D4" s="6"/>
      <c r="F4" s="9"/>
    </row>
    <row r="7" spans="2:23" s="8" customFormat="1">
      <c r="B7" s="7" t="s">
        <v>2</v>
      </c>
      <c r="E7" s="7" t="s">
        <v>9</v>
      </c>
      <c r="F7" s="7"/>
      <c r="G7" s="7" t="s">
        <v>10</v>
      </c>
      <c r="H7" s="7"/>
      <c r="I7" s="7" t="s">
        <v>11</v>
      </c>
      <c r="J7" s="7"/>
      <c r="K7" s="7" t="s">
        <v>12</v>
      </c>
      <c r="L7" s="7"/>
      <c r="M7" s="7" t="s">
        <v>13</v>
      </c>
      <c r="N7" s="7"/>
      <c r="O7" s="7" t="s">
        <v>44</v>
      </c>
      <c r="P7" s="7"/>
      <c r="Q7" s="7" t="s">
        <v>45</v>
      </c>
      <c r="R7" s="7"/>
      <c r="S7" s="7" t="s">
        <v>46</v>
      </c>
      <c r="T7" s="7"/>
      <c r="U7" s="7" t="s">
        <v>47</v>
      </c>
      <c r="V7" s="7"/>
      <c r="W7" s="7" t="s">
        <v>48</v>
      </c>
    </row>
    <row r="8" spans="2:23" s="9" customFormat="1">
      <c r="B8" s="9" t="s">
        <v>6</v>
      </c>
      <c r="E8" s="9">
        <v>0.8</v>
      </c>
      <c r="G8" s="9">
        <v>0.85</v>
      </c>
      <c r="I8" s="9">
        <v>0.9</v>
      </c>
      <c r="K8" s="9">
        <v>0.95</v>
      </c>
      <c r="M8" s="9">
        <v>0.95</v>
      </c>
      <c r="O8" s="9">
        <v>0.95</v>
      </c>
      <c r="Q8" s="9">
        <v>0.95</v>
      </c>
      <c r="S8" s="9">
        <v>0.95</v>
      </c>
      <c r="U8" s="9">
        <v>0.95</v>
      </c>
      <c r="W8" s="9">
        <v>0.95</v>
      </c>
    </row>
    <row r="9" spans="2:23" s="10" customFormat="1">
      <c r="B9" s="10" t="s">
        <v>7</v>
      </c>
      <c r="C9" s="10">
        <f>+C4</f>
        <v>43800</v>
      </c>
      <c r="E9" s="10">
        <f>+$C$9*E8</f>
        <v>35040</v>
      </c>
      <c r="G9" s="10">
        <f t="shared" ref="G9:M9" si="0">+$C$9*G8</f>
        <v>37230</v>
      </c>
      <c r="I9" s="10">
        <f t="shared" si="0"/>
        <v>39420</v>
      </c>
      <c r="K9" s="10">
        <f t="shared" si="0"/>
        <v>41610</v>
      </c>
      <c r="M9" s="10">
        <f t="shared" si="0"/>
        <v>41610</v>
      </c>
      <c r="O9" s="10">
        <f t="shared" ref="O9" si="1">+$C$9*O8</f>
        <v>41610</v>
      </c>
      <c r="Q9" s="10">
        <f t="shared" ref="Q9:R9" si="2">+$C$9*Q8</f>
        <v>41610</v>
      </c>
      <c r="S9" s="10">
        <f t="shared" ref="S9:T9" si="3">+$C$9*S8</f>
        <v>41610</v>
      </c>
      <c r="U9" s="10">
        <f t="shared" ref="U9:V9" si="4">+$C$9*U8</f>
        <v>41610</v>
      </c>
      <c r="W9" s="10">
        <f t="shared" ref="W9" si="5">+$C$9*W8</f>
        <v>41610</v>
      </c>
    </row>
    <row r="10" spans="2:23">
      <c r="B10" s="1" t="s">
        <v>8</v>
      </c>
      <c r="E10" s="11">
        <v>96</v>
      </c>
      <c r="F10" s="11"/>
      <c r="G10" s="11">
        <v>98</v>
      </c>
      <c r="H10" s="11"/>
      <c r="I10" s="11">
        <v>100</v>
      </c>
      <c r="J10" s="11"/>
      <c r="K10" s="11">
        <v>102</v>
      </c>
      <c r="L10" s="11"/>
      <c r="M10" s="11">
        <v>104</v>
      </c>
      <c r="N10" s="11"/>
      <c r="O10" s="11">
        <v>106</v>
      </c>
      <c r="P10" s="11"/>
      <c r="Q10" s="11">
        <v>108</v>
      </c>
      <c r="R10" s="11"/>
      <c r="S10" s="11">
        <v>110</v>
      </c>
      <c r="T10" s="11"/>
      <c r="U10" s="11">
        <v>115</v>
      </c>
      <c r="V10" s="11"/>
      <c r="W10" s="11">
        <v>120</v>
      </c>
    </row>
    <row r="11" spans="2:23">
      <c r="B11" s="1" t="s">
        <v>14</v>
      </c>
      <c r="C11" s="12"/>
      <c r="D11" s="12"/>
      <c r="E11" s="11">
        <f>+E10*E9</f>
        <v>3363840</v>
      </c>
      <c r="F11" s="9">
        <f>E11/E15</f>
        <v>0.83793505445342309</v>
      </c>
      <c r="G11" s="11">
        <f t="shared" ref="G11:K11" si="6">+G10*G9</f>
        <v>3648540</v>
      </c>
      <c r="H11" s="9">
        <f>G11/G15</f>
        <v>0.84223186110771264</v>
      </c>
      <c r="I11" s="11">
        <f t="shared" si="6"/>
        <v>3942000</v>
      </c>
      <c r="J11" s="9">
        <f>I11/I15</f>
        <v>0.84623145782796294</v>
      </c>
      <c r="K11" s="11">
        <f t="shared" si="6"/>
        <v>4244220</v>
      </c>
      <c r="L11" s="9">
        <f>K11/K15</f>
        <v>0.92723828832470012</v>
      </c>
      <c r="M11" s="11">
        <f t="shared" ref="M11:O11" si="7">+M10*M9</f>
        <v>4327440</v>
      </c>
      <c r="N11" s="9">
        <f>M11/M15</f>
        <v>0.92853755720964959</v>
      </c>
      <c r="O11" s="11">
        <f t="shared" si="7"/>
        <v>4410660</v>
      </c>
      <c r="P11" s="9">
        <f>O11/O15</f>
        <v>0.92979123934641872</v>
      </c>
      <c r="Q11" s="11">
        <f t="shared" ref="Q11:R11" si="8">+Q10*Q9</f>
        <v>4493880</v>
      </c>
      <c r="R11" s="9">
        <f>Q11/Q15</f>
        <v>0.93100169258721377</v>
      </c>
      <c r="S11" s="11">
        <f t="shared" ref="S11:T11" si="9">+S10*S9</f>
        <v>4577100</v>
      </c>
      <c r="T11" s="9">
        <f>S11/S15</f>
        <v>0.93217111493538896</v>
      </c>
      <c r="U11" s="11">
        <f t="shared" ref="U11:V11" si="10">+U10*U9</f>
        <v>4785150</v>
      </c>
      <c r="V11" s="9">
        <f>U11/U15</f>
        <v>0.93492829510374742</v>
      </c>
      <c r="W11" s="11">
        <f t="shared" ref="W11" si="11">+W10*W9</f>
        <v>4993200</v>
      </c>
    </row>
    <row r="12" spans="2:23">
      <c r="B12" s="1" t="s">
        <v>15</v>
      </c>
      <c r="E12" s="1">
        <f>+E11-E20</f>
        <v>3111552</v>
      </c>
      <c r="F12" s="9">
        <f>E12/E15</f>
        <v>0.77508992536941645</v>
      </c>
      <c r="G12" s="1">
        <f>+G11-G20</f>
        <v>3374899.5</v>
      </c>
      <c r="H12" s="9">
        <f>G12/G15</f>
        <v>0.77906447152463421</v>
      </c>
      <c r="I12" s="1">
        <f>+I11-I20</f>
        <v>3646350</v>
      </c>
      <c r="J12" s="9">
        <f>I12/I15</f>
        <v>0.78276409849086581</v>
      </c>
      <c r="K12" s="1">
        <f>+K11-K20</f>
        <v>3925903.5</v>
      </c>
      <c r="L12" s="9">
        <f>K12/K15</f>
        <v>0.85769541670034755</v>
      </c>
      <c r="M12" s="1">
        <f>+M11-M20</f>
        <v>4002882</v>
      </c>
      <c r="N12" s="9">
        <f>M12/M15</f>
        <v>0.8588972404189259</v>
      </c>
      <c r="O12" s="1">
        <f>+O11-O20</f>
        <v>4079860.5</v>
      </c>
      <c r="P12" s="9">
        <f>O12/O15</f>
        <v>0.86005689639543736</v>
      </c>
      <c r="Q12" s="1">
        <f>+Q11-Q20</f>
        <v>4156839</v>
      </c>
      <c r="R12" s="9">
        <f>Q12/Q15</f>
        <v>0.8611765656431728</v>
      </c>
      <c r="S12" s="1">
        <f>+S11-S20</f>
        <v>4233817.5</v>
      </c>
      <c r="T12" s="9">
        <f>S12/S15</f>
        <v>0.86225828131523474</v>
      </c>
      <c r="U12" s="1">
        <f>+U11-U20</f>
        <v>4426263.75</v>
      </c>
      <c r="V12" s="9">
        <f>U12/U15</f>
        <v>0.86480867297096631</v>
      </c>
      <c r="W12" s="1">
        <f>+W11-W20</f>
        <v>4618710</v>
      </c>
    </row>
    <row r="13" spans="2:23">
      <c r="B13" s="1" t="s">
        <v>42</v>
      </c>
      <c r="C13" s="21" t="s">
        <v>50</v>
      </c>
      <c r="D13" s="21"/>
      <c r="E13" s="11">
        <f>E9*15</f>
        <v>525600</v>
      </c>
      <c r="F13" s="9">
        <v>0.05</v>
      </c>
      <c r="G13" s="11">
        <f>G9*15</f>
        <v>558450</v>
      </c>
      <c r="H13" s="9">
        <v>0.05</v>
      </c>
      <c r="I13" s="11">
        <f>I9*15</f>
        <v>591300</v>
      </c>
      <c r="J13" s="9">
        <v>0.04</v>
      </c>
      <c r="K13" s="11">
        <f>K9*5</f>
        <v>208050</v>
      </c>
      <c r="L13" s="9">
        <v>0.04</v>
      </c>
      <c r="M13" s="11">
        <f>M9*5</f>
        <v>208050</v>
      </c>
      <c r="N13" s="9">
        <v>0.04</v>
      </c>
      <c r="O13" s="11">
        <f>O9*5</f>
        <v>208050</v>
      </c>
      <c r="P13" s="9">
        <v>0.04</v>
      </c>
      <c r="Q13" s="11">
        <f>Q9*5</f>
        <v>208050</v>
      </c>
      <c r="R13" s="9">
        <v>0.04</v>
      </c>
      <c r="S13" s="11">
        <f>S9*5</f>
        <v>208050</v>
      </c>
      <c r="T13" s="9">
        <v>0.04</v>
      </c>
      <c r="U13" s="11">
        <f>U9*5</f>
        <v>208050</v>
      </c>
      <c r="V13" s="9">
        <v>0.04</v>
      </c>
      <c r="W13" s="11">
        <f>W9*5</f>
        <v>208050</v>
      </c>
    </row>
    <row r="14" spans="2:23">
      <c r="B14" s="1" t="s">
        <v>29</v>
      </c>
      <c r="C14" s="9"/>
      <c r="D14" s="12"/>
      <c r="E14" s="11">
        <f>25*5000</f>
        <v>125000</v>
      </c>
      <c r="F14" s="9">
        <v>0.08</v>
      </c>
      <c r="G14" s="11">
        <f>25*5000</f>
        <v>125000</v>
      </c>
      <c r="H14" s="9">
        <v>0.08</v>
      </c>
      <c r="I14" s="11">
        <f>25*5000</f>
        <v>125000</v>
      </c>
      <c r="J14" s="9">
        <v>0.08</v>
      </c>
      <c r="K14" s="11">
        <f>25*5000</f>
        <v>125000</v>
      </c>
      <c r="L14" s="9">
        <v>0.08</v>
      </c>
      <c r="M14" s="11">
        <f>25*5000</f>
        <v>125000</v>
      </c>
      <c r="N14" s="9">
        <v>0.08</v>
      </c>
      <c r="O14" s="11">
        <f>25*5000</f>
        <v>125000</v>
      </c>
      <c r="P14" s="9">
        <v>0.08</v>
      </c>
      <c r="Q14" s="11">
        <f>25*5000</f>
        <v>125000</v>
      </c>
      <c r="R14" s="9">
        <v>0.08</v>
      </c>
      <c r="S14" s="11">
        <f>25*5000</f>
        <v>125000</v>
      </c>
      <c r="T14" s="9">
        <v>0.08</v>
      </c>
      <c r="U14" s="11">
        <f>25*5000</f>
        <v>125000</v>
      </c>
      <c r="V14" s="9">
        <v>0.08</v>
      </c>
      <c r="W14" s="11">
        <f>25*5000</f>
        <v>125000</v>
      </c>
    </row>
    <row r="15" spans="2:23" s="8" customFormat="1">
      <c r="B15" s="8" t="s">
        <v>27</v>
      </c>
      <c r="C15" s="13"/>
      <c r="D15" s="13"/>
      <c r="E15" s="14">
        <f>E11+E13+E14</f>
        <v>4014440</v>
      </c>
      <c r="F15" s="15">
        <f>F11+F13+F14</f>
        <v>0.96793505445342309</v>
      </c>
      <c r="G15" s="14">
        <f>G11+G13+G14</f>
        <v>4331990</v>
      </c>
      <c r="H15" s="15">
        <f>H11+H13+H14</f>
        <v>0.97223186110771265</v>
      </c>
      <c r="I15" s="14">
        <f>I11+I13+I14</f>
        <v>4658300</v>
      </c>
      <c r="J15" s="15">
        <f>J11+J13+J14</f>
        <v>0.96623145782796294</v>
      </c>
      <c r="K15" s="14">
        <f>K11+K13+K14</f>
        <v>4577270</v>
      </c>
      <c r="L15" s="15">
        <f>L11+L13+L14</f>
        <v>1.0472382883247002</v>
      </c>
      <c r="M15" s="14">
        <f>M11+M13+M14</f>
        <v>4660490</v>
      </c>
      <c r="N15" s="15">
        <f>N11+N13+N14</f>
        <v>1.0485375572096496</v>
      </c>
      <c r="O15" s="14">
        <f>O11+O13+O14</f>
        <v>4743710</v>
      </c>
      <c r="P15" s="15">
        <f>P11+P13+P14</f>
        <v>1.0497912393464188</v>
      </c>
      <c r="Q15" s="14">
        <f>Q11+Q13+Q14</f>
        <v>4826930</v>
      </c>
      <c r="R15" s="15">
        <f>R11+R13+R14</f>
        <v>1.0510016925872139</v>
      </c>
      <c r="S15" s="14">
        <f>S11+S13+S14</f>
        <v>4910150</v>
      </c>
      <c r="T15" s="15">
        <f>T11+T13+T14</f>
        <v>1.052171114935389</v>
      </c>
      <c r="U15" s="14">
        <f>U11+U13+U14</f>
        <v>5118200</v>
      </c>
      <c r="V15" s="15">
        <f>V11+V13+V14</f>
        <v>1.0549282951037475</v>
      </c>
      <c r="W15" s="14">
        <f>W11+W13+W14</f>
        <v>5326250</v>
      </c>
    </row>
    <row r="17" spans="2:23" s="8" customFormat="1">
      <c r="B17" s="7" t="s">
        <v>33</v>
      </c>
      <c r="C17" s="7"/>
      <c r="D17" s="7"/>
      <c r="E17" s="7" t="s">
        <v>9</v>
      </c>
      <c r="F17" s="7"/>
      <c r="G17" s="7" t="s">
        <v>10</v>
      </c>
      <c r="H17" s="7"/>
      <c r="I17" s="7" t="s">
        <v>11</v>
      </c>
      <c r="J17" s="7"/>
      <c r="K17" s="7" t="s">
        <v>12</v>
      </c>
      <c r="L17" s="7"/>
      <c r="M17" s="7" t="s">
        <v>13</v>
      </c>
      <c r="N17" s="7"/>
      <c r="O17" s="7" t="s">
        <v>44</v>
      </c>
      <c r="P17" s="7"/>
      <c r="Q17" s="7" t="s">
        <v>45</v>
      </c>
      <c r="R17" s="7"/>
      <c r="S17" s="7" t="s">
        <v>46</v>
      </c>
      <c r="T17" s="7"/>
      <c r="U17" s="7" t="s">
        <v>47</v>
      </c>
      <c r="V17" s="7"/>
      <c r="W17" s="7" t="s">
        <v>48</v>
      </c>
    </row>
    <row r="18" spans="2:23" s="8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2:23" s="8" customFormat="1">
      <c r="B19" s="7" t="s">
        <v>34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2:23">
      <c r="B20" s="1" t="s">
        <v>25</v>
      </c>
      <c r="C20" s="9">
        <f>15%*0.5</f>
        <v>7.4999999999999997E-2</v>
      </c>
      <c r="D20" s="12"/>
      <c r="E20" s="11">
        <f>+E11*$C$20</f>
        <v>252288</v>
      </c>
      <c r="F20" s="9">
        <f>E20/E15</f>
        <v>6.2845129084006732E-2</v>
      </c>
      <c r="G20" s="11">
        <f>+G11*$C$20</f>
        <v>273640.5</v>
      </c>
      <c r="H20" s="9">
        <f>G20/G15</f>
        <v>6.3167389583078451E-2</v>
      </c>
      <c r="I20" s="11">
        <f>+I11*$C$20</f>
        <v>295650</v>
      </c>
      <c r="J20" s="9">
        <f>I20/I15</f>
        <v>6.3467359337097226E-2</v>
      </c>
      <c r="K20" s="11">
        <f>+K11*$C$20</f>
        <v>318316.5</v>
      </c>
      <c r="L20" s="9">
        <f>K20/K15</f>
        <v>6.9542871624352506E-2</v>
      </c>
      <c r="M20" s="11">
        <f>+M11*$C$20</f>
        <v>324558</v>
      </c>
      <c r="N20" s="9">
        <f>M20/M15</f>
        <v>6.9640316790723716E-2</v>
      </c>
      <c r="O20" s="11">
        <f>+O11*$C$20</f>
        <v>330799.5</v>
      </c>
      <c r="P20" s="9">
        <f>O20/O15</f>
        <v>6.9734342950981409E-2</v>
      </c>
      <c r="Q20" s="11">
        <f>+Q11*$C$20</f>
        <v>337041</v>
      </c>
      <c r="R20" s="9">
        <f>Q20/Q15</f>
        <v>6.9825126944041041E-2</v>
      </c>
      <c r="S20" s="11">
        <f>+S11*$C$20</f>
        <v>343282.5</v>
      </c>
      <c r="T20" s="9">
        <f>S20/S15</f>
        <v>6.9912833620154172E-2</v>
      </c>
      <c r="U20" s="11">
        <f>+U11*$C$20</f>
        <v>358886.25</v>
      </c>
      <c r="V20" s="9">
        <f>U20/U15</f>
        <v>7.0119622132781056E-2</v>
      </c>
      <c r="W20" s="11">
        <f>+W11*$C$20</f>
        <v>374490</v>
      </c>
    </row>
    <row r="21" spans="2:23">
      <c r="B21" s="1" t="s">
        <v>20</v>
      </c>
      <c r="C21" s="11">
        <v>2</v>
      </c>
      <c r="D21" s="11"/>
      <c r="E21" s="11">
        <f>+$C$21*E9</f>
        <v>70080</v>
      </c>
      <c r="F21" s="9">
        <f t="shared" ref="F21:F26" si="12">E21/$E$15</f>
        <v>1.7456980301112982E-2</v>
      </c>
      <c r="G21" s="11">
        <f>+$C$21*G9</f>
        <v>74460</v>
      </c>
      <c r="H21" s="9">
        <f t="shared" ref="H21:H26" si="13">G21/$G$15</f>
        <v>1.7188405328728829E-2</v>
      </c>
      <c r="I21" s="11">
        <f>+$C$21*I9</f>
        <v>78840</v>
      </c>
      <c r="J21" s="9">
        <f t="shared" ref="J21:J26" si="14">I21/$I$15</f>
        <v>1.6924629156559259E-2</v>
      </c>
      <c r="K21" s="11">
        <f>+$C$21*K9</f>
        <v>83220</v>
      </c>
      <c r="L21" s="9">
        <f t="shared" ref="L21:L26" si="15">K21/$K$15</f>
        <v>1.8181142908327452E-2</v>
      </c>
      <c r="M21" s="11">
        <f>+$C$21*M9</f>
        <v>83220</v>
      </c>
      <c r="N21" s="9">
        <f t="shared" ref="N21:N26" si="16">M21/$M$15</f>
        <v>1.7856491484800955E-2</v>
      </c>
      <c r="O21" s="11">
        <f>+$C$21*O9</f>
        <v>83220</v>
      </c>
      <c r="P21" s="9">
        <f t="shared" ref="P21:P26" si="17">O21/$M$15</f>
        <v>1.7856491484800955E-2</v>
      </c>
      <c r="Q21" s="11">
        <f>+$C$21*Q9</f>
        <v>83220</v>
      </c>
      <c r="R21" s="9">
        <f t="shared" ref="R21:R26" si="18">Q21/$M$15</f>
        <v>1.7856491484800955E-2</v>
      </c>
      <c r="S21" s="11">
        <f>+$C$21*S9</f>
        <v>83220</v>
      </c>
      <c r="T21" s="9">
        <f t="shared" ref="T21:T26" si="19">S21/$M$15</f>
        <v>1.7856491484800955E-2</v>
      </c>
      <c r="U21" s="11">
        <f>+$C$21*U9</f>
        <v>83220</v>
      </c>
      <c r="V21" s="9">
        <f t="shared" ref="V21:V26" si="20">U21/$M$15</f>
        <v>1.7856491484800955E-2</v>
      </c>
      <c r="W21" s="11">
        <f>+$C$21*W9</f>
        <v>83220</v>
      </c>
    </row>
    <row r="22" spans="2:23">
      <c r="B22" s="1" t="s">
        <v>21</v>
      </c>
      <c r="C22" s="11">
        <v>5</v>
      </c>
      <c r="D22" s="11"/>
      <c r="E22" s="11">
        <f>+$C$22*E9</f>
        <v>175200</v>
      </c>
      <c r="F22" s="9">
        <f t="shared" si="12"/>
        <v>4.3642450752782454E-2</v>
      </c>
      <c r="G22" s="11">
        <f>+$C$22*G9</f>
        <v>186150</v>
      </c>
      <c r="H22" s="9">
        <f t="shared" si="13"/>
        <v>4.2971013321822071E-2</v>
      </c>
      <c r="I22" s="11">
        <f>+$C$22*I9</f>
        <v>197100</v>
      </c>
      <c r="J22" s="9">
        <f t="shared" si="14"/>
        <v>4.2311572891398148E-2</v>
      </c>
      <c r="K22" s="11">
        <f>+$C$22*K9</f>
        <v>208050</v>
      </c>
      <c r="L22" s="9">
        <f t="shared" si="15"/>
        <v>4.5452857270818631E-2</v>
      </c>
      <c r="M22" s="11">
        <f>+$C$22*M9</f>
        <v>208050</v>
      </c>
      <c r="N22" s="9">
        <f t="shared" si="16"/>
        <v>4.4641228712002386E-2</v>
      </c>
      <c r="O22" s="11">
        <f>+$C$22*O9</f>
        <v>208050</v>
      </c>
      <c r="P22" s="9">
        <f t="shared" si="17"/>
        <v>4.4641228712002386E-2</v>
      </c>
      <c r="Q22" s="11">
        <f>+$C$22*Q9</f>
        <v>208050</v>
      </c>
      <c r="R22" s="9">
        <f t="shared" si="18"/>
        <v>4.4641228712002386E-2</v>
      </c>
      <c r="S22" s="11">
        <f>+$C$22*S9</f>
        <v>208050</v>
      </c>
      <c r="T22" s="9">
        <f t="shared" si="19"/>
        <v>4.4641228712002386E-2</v>
      </c>
      <c r="U22" s="11">
        <f>+$C$22*U9</f>
        <v>208050</v>
      </c>
      <c r="V22" s="9">
        <f t="shared" si="20"/>
        <v>4.4641228712002386E-2</v>
      </c>
      <c r="W22" s="11">
        <f>+$C$22*W9</f>
        <v>208050</v>
      </c>
    </row>
    <row r="23" spans="2:23">
      <c r="B23" s="1" t="s">
        <v>23</v>
      </c>
      <c r="C23" s="11">
        <v>2</v>
      </c>
      <c r="D23" s="11"/>
      <c r="E23" s="11">
        <f>+$C$23*E9</f>
        <v>70080</v>
      </c>
      <c r="F23" s="9">
        <f t="shared" si="12"/>
        <v>1.7456980301112982E-2</v>
      </c>
      <c r="G23" s="11">
        <f>+$C$23*G9</f>
        <v>74460</v>
      </c>
      <c r="H23" s="9">
        <f t="shared" si="13"/>
        <v>1.7188405328728829E-2</v>
      </c>
      <c r="I23" s="11">
        <f>+$C$23*I9</f>
        <v>78840</v>
      </c>
      <c r="J23" s="9">
        <f t="shared" si="14"/>
        <v>1.6924629156559259E-2</v>
      </c>
      <c r="K23" s="11">
        <f>+$C$23*K9</f>
        <v>83220</v>
      </c>
      <c r="L23" s="9">
        <f t="shared" si="15"/>
        <v>1.8181142908327452E-2</v>
      </c>
      <c r="M23" s="11">
        <f>+$C$23*M9</f>
        <v>83220</v>
      </c>
      <c r="N23" s="9">
        <f t="shared" si="16"/>
        <v>1.7856491484800955E-2</v>
      </c>
      <c r="O23" s="11">
        <f>+$C$23*O9</f>
        <v>83220</v>
      </c>
      <c r="P23" s="9">
        <f t="shared" si="17"/>
        <v>1.7856491484800955E-2</v>
      </c>
      <c r="Q23" s="11">
        <f>+$C$23*Q9</f>
        <v>83220</v>
      </c>
      <c r="R23" s="9">
        <f t="shared" si="18"/>
        <v>1.7856491484800955E-2</v>
      </c>
      <c r="S23" s="11">
        <f>+$C$23*S9</f>
        <v>83220</v>
      </c>
      <c r="T23" s="9">
        <f t="shared" si="19"/>
        <v>1.7856491484800955E-2</v>
      </c>
      <c r="U23" s="11">
        <f>+$C$23*U9</f>
        <v>83220</v>
      </c>
      <c r="V23" s="9">
        <f t="shared" si="20"/>
        <v>1.7856491484800955E-2</v>
      </c>
      <c r="W23" s="11">
        <f>+$C$23*W9</f>
        <v>83220</v>
      </c>
    </row>
    <row r="24" spans="2:23">
      <c r="B24" s="1" t="s">
        <v>22</v>
      </c>
      <c r="C24" s="11">
        <v>5</v>
      </c>
      <c r="D24" s="11"/>
      <c r="E24" s="11">
        <f>+$C$24*E9</f>
        <v>175200</v>
      </c>
      <c r="F24" s="9">
        <f t="shared" si="12"/>
        <v>4.3642450752782454E-2</v>
      </c>
      <c r="G24" s="11">
        <f>+$C$24*G9</f>
        <v>186150</v>
      </c>
      <c r="H24" s="9">
        <f t="shared" si="13"/>
        <v>4.2971013321822071E-2</v>
      </c>
      <c r="I24" s="11">
        <f>+$C$24*I9</f>
        <v>197100</v>
      </c>
      <c r="J24" s="9">
        <f t="shared" si="14"/>
        <v>4.2311572891398148E-2</v>
      </c>
      <c r="K24" s="11">
        <f>+$C$24*K9</f>
        <v>208050</v>
      </c>
      <c r="L24" s="9">
        <f t="shared" si="15"/>
        <v>4.5452857270818631E-2</v>
      </c>
      <c r="M24" s="11">
        <f>+$C$24*M9</f>
        <v>208050</v>
      </c>
      <c r="N24" s="9">
        <f t="shared" si="16"/>
        <v>4.4641228712002386E-2</v>
      </c>
      <c r="O24" s="11">
        <f>+$C$24*O9</f>
        <v>208050</v>
      </c>
      <c r="P24" s="9">
        <f t="shared" si="17"/>
        <v>4.4641228712002386E-2</v>
      </c>
      <c r="Q24" s="11">
        <f>+$C$24*Q9</f>
        <v>208050</v>
      </c>
      <c r="R24" s="9">
        <f t="shared" si="18"/>
        <v>4.4641228712002386E-2</v>
      </c>
      <c r="S24" s="11">
        <f>+$C$24*S9</f>
        <v>208050</v>
      </c>
      <c r="T24" s="9">
        <f t="shared" si="19"/>
        <v>4.4641228712002386E-2</v>
      </c>
      <c r="U24" s="11">
        <f>+$C$24*U9</f>
        <v>208050</v>
      </c>
      <c r="V24" s="9">
        <f t="shared" si="20"/>
        <v>4.4641228712002386E-2</v>
      </c>
      <c r="W24" s="11">
        <f>+$C$24*W9</f>
        <v>208050</v>
      </c>
    </row>
    <row r="25" spans="2:23">
      <c r="B25" s="1" t="s">
        <v>24</v>
      </c>
      <c r="C25" s="12">
        <v>0.5</v>
      </c>
      <c r="D25" s="12"/>
      <c r="E25" s="11">
        <f>+E13*$C$25</f>
        <v>262800</v>
      </c>
      <c r="F25" s="9">
        <f t="shared" si="12"/>
        <v>6.5463676129173684E-2</v>
      </c>
      <c r="G25" s="11">
        <f>+G13*$C$25</f>
        <v>279225</v>
      </c>
      <c r="H25" s="9">
        <f t="shared" si="13"/>
        <v>6.4456519982733107E-2</v>
      </c>
      <c r="I25" s="11">
        <f>+I13*$C$25</f>
        <v>295650</v>
      </c>
      <c r="J25" s="9">
        <f t="shared" si="14"/>
        <v>6.3467359337097226E-2</v>
      </c>
      <c r="K25" s="11">
        <f>+K13*$C$25</f>
        <v>104025</v>
      </c>
      <c r="L25" s="9">
        <f t="shared" si="15"/>
        <v>2.2726428635409315E-2</v>
      </c>
      <c r="M25" s="11">
        <f>+M13*$C$25</f>
        <v>104025</v>
      </c>
      <c r="N25" s="9">
        <f t="shared" si="16"/>
        <v>2.2320614356001193E-2</v>
      </c>
      <c r="O25" s="11">
        <f>+O13*$C$25</f>
        <v>104025</v>
      </c>
      <c r="P25" s="9">
        <f t="shared" si="17"/>
        <v>2.2320614356001193E-2</v>
      </c>
      <c r="Q25" s="11">
        <f>+Q13*$C$25</f>
        <v>104025</v>
      </c>
      <c r="R25" s="9">
        <f t="shared" si="18"/>
        <v>2.2320614356001193E-2</v>
      </c>
      <c r="S25" s="11">
        <f>+S13*$C$25</f>
        <v>104025</v>
      </c>
      <c r="T25" s="9">
        <f t="shared" si="19"/>
        <v>2.2320614356001193E-2</v>
      </c>
      <c r="U25" s="11">
        <f>+U13*$C$25</f>
        <v>104025</v>
      </c>
      <c r="V25" s="9">
        <f t="shared" si="20"/>
        <v>2.2320614356001193E-2</v>
      </c>
      <c r="W25" s="11">
        <f>+W13*$C$25</f>
        <v>104025</v>
      </c>
    </row>
    <row r="26" spans="2:23">
      <c r="B26" s="1" t="s">
        <v>30</v>
      </c>
      <c r="C26" s="12">
        <v>0.25</v>
      </c>
      <c r="D26" s="12"/>
      <c r="E26" s="11">
        <f>+E14*$C$26</f>
        <v>31250</v>
      </c>
      <c r="F26" s="9">
        <f t="shared" si="12"/>
        <v>7.7843983220573726E-3</v>
      </c>
      <c r="G26" s="11">
        <f>+G14*$C$26</f>
        <v>31250</v>
      </c>
      <c r="H26" s="9">
        <f t="shared" si="13"/>
        <v>7.2137747317052902E-3</v>
      </c>
      <c r="I26" s="11">
        <f>+I14*$C$26</f>
        <v>31250</v>
      </c>
      <c r="J26" s="9">
        <f t="shared" si="14"/>
        <v>6.7084558744606405E-3</v>
      </c>
      <c r="K26" s="11">
        <f>+K14*$C$26</f>
        <v>31250</v>
      </c>
      <c r="L26" s="9">
        <f t="shared" si="15"/>
        <v>6.8272136011203188E-3</v>
      </c>
      <c r="M26" s="11">
        <f>+M14*$C$26</f>
        <v>31250</v>
      </c>
      <c r="N26" s="9">
        <f t="shared" si="16"/>
        <v>6.705303519586996E-3</v>
      </c>
      <c r="O26" s="11">
        <f>+O14*$C$26</f>
        <v>31250</v>
      </c>
      <c r="P26" s="9">
        <f t="shared" si="17"/>
        <v>6.705303519586996E-3</v>
      </c>
      <c r="Q26" s="11">
        <f>+Q14*$C$26</f>
        <v>31250</v>
      </c>
      <c r="R26" s="9">
        <f t="shared" si="18"/>
        <v>6.705303519586996E-3</v>
      </c>
      <c r="S26" s="11">
        <f>+S14*$C$26</f>
        <v>31250</v>
      </c>
      <c r="T26" s="9">
        <f t="shared" si="19"/>
        <v>6.705303519586996E-3</v>
      </c>
      <c r="U26" s="11">
        <f>+U14*$C$26</f>
        <v>31250</v>
      </c>
      <c r="V26" s="9">
        <f t="shared" si="20"/>
        <v>6.705303519586996E-3</v>
      </c>
      <c r="W26" s="11">
        <f>+W14*$C$26</f>
        <v>31250</v>
      </c>
    </row>
    <row r="27" spans="2:23">
      <c r="C27" s="12"/>
      <c r="D27" s="12"/>
      <c r="E27" s="11"/>
      <c r="F27" s="9"/>
      <c r="G27" s="11"/>
      <c r="H27" s="9"/>
      <c r="I27" s="11"/>
      <c r="J27" s="9"/>
      <c r="K27" s="11"/>
      <c r="L27" s="9"/>
      <c r="M27" s="11"/>
      <c r="N27" s="9"/>
      <c r="O27" s="11"/>
      <c r="P27" s="9"/>
      <c r="Q27" s="11"/>
      <c r="R27" s="9"/>
      <c r="S27" s="11"/>
      <c r="T27" s="9"/>
      <c r="U27" s="11"/>
      <c r="V27" s="9"/>
      <c r="W27" s="11"/>
    </row>
    <row r="28" spans="2:23">
      <c r="B28" s="8" t="s">
        <v>35</v>
      </c>
      <c r="C28" s="12"/>
      <c r="D28" s="12"/>
      <c r="E28" s="11"/>
      <c r="F28" s="9"/>
      <c r="G28" s="11"/>
      <c r="H28" s="9"/>
      <c r="I28" s="11"/>
      <c r="J28" s="9"/>
      <c r="K28" s="11"/>
      <c r="L28" s="9"/>
      <c r="M28" s="11"/>
      <c r="N28" s="9"/>
      <c r="O28" s="11"/>
      <c r="P28" s="9"/>
      <c r="Q28" s="11"/>
      <c r="R28" s="9"/>
      <c r="S28" s="11"/>
      <c r="T28" s="9"/>
      <c r="U28" s="11"/>
      <c r="V28" s="9"/>
      <c r="W28" s="11"/>
    </row>
    <row r="29" spans="2:23">
      <c r="B29" s="1" t="s">
        <v>40</v>
      </c>
      <c r="C29" s="9">
        <v>0.02</v>
      </c>
      <c r="D29" s="11"/>
      <c r="E29" s="11">
        <f>+$C$29*E11</f>
        <v>67276.800000000003</v>
      </c>
      <c r="F29" s="9">
        <f>E29/$E$15</f>
        <v>1.6758701089068465E-2</v>
      </c>
      <c r="G29" s="11">
        <f>+$C$29*G11</f>
        <v>72970.8</v>
      </c>
      <c r="H29" s="9">
        <f>G29/$G$15</f>
        <v>1.6844637222154252E-2</v>
      </c>
      <c r="I29" s="11">
        <f>+$C$29*I11</f>
        <v>78840</v>
      </c>
      <c r="J29" s="9">
        <f>I29/$I$15</f>
        <v>1.6924629156559259E-2</v>
      </c>
      <c r="K29" s="11">
        <f>+$C$29*K11</f>
        <v>84884.400000000009</v>
      </c>
      <c r="L29" s="9">
        <f>K29/$K$15</f>
        <v>1.8544765766494005E-2</v>
      </c>
      <c r="M29" s="11">
        <f>+$C$29*M11</f>
        <v>86548.800000000003</v>
      </c>
      <c r="N29" s="9">
        <f>M29/$M$15</f>
        <v>1.8570751144192994E-2</v>
      </c>
      <c r="O29" s="11">
        <f>+$C$29*O11</f>
        <v>88213.2</v>
      </c>
      <c r="P29" s="9">
        <f>O29/$M$15</f>
        <v>1.8927880973889012E-2</v>
      </c>
      <c r="Q29" s="11">
        <f>+$C$29*Q11</f>
        <v>89877.6</v>
      </c>
      <c r="R29" s="9">
        <f>Q29/$M$15</f>
        <v>1.9285010803585034E-2</v>
      </c>
      <c r="S29" s="11">
        <f>+$C$29*S11</f>
        <v>91542</v>
      </c>
      <c r="T29" s="9">
        <f>S29/$M$15</f>
        <v>1.9642140633281052E-2</v>
      </c>
      <c r="U29" s="11">
        <f>+$C$29*U11</f>
        <v>95703</v>
      </c>
      <c r="V29" s="9">
        <f>U29/$M$15</f>
        <v>2.0534965207521096E-2</v>
      </c>
      <c r="W29" s="11">
        <f>+$C$29*W11</f>
        <v>99864</v>
      </c>
    </row>
    <row r="30" spans="2:23">
      <c r="B30" s="1" t="s">
        <v>41</v>
      </c>
      <c r="C30" s="9">
        <v>0.03</v>
      </c>
      <c r="D30" s="11"/>
      <c r="E30" s="11">
        <f>+$C$30*E11</f>
        <v>100915.2</v>
      </c>
      <c r="F30" s="9">
        <f>E30/$E$15</f>
        <v>2.5138051633602693E-2</v>
      </c>
      <c r="G30" s="11">
        <f>+$C$30*G11</f>
        <v>109456.2</v>
      </c>
      <c r="H30" s="9">
        <f>G30/$G$15</f>
        <v>2.5266955833231377E-2</v>
      </c>
      <c r="I30" s="11">
        <f>+$C$30*I11</f>
        <v>118260</v>
      </c>
      <c r="J30" s="9">
        <f>I30/$I$15</f>
        <v>2.538694373483889E-2</v>
      </c>
      <c r="K30" s="11">
        <f>+$C$30*K11</f>
        <v>127326.59999999999</v>
      </c>
      <c r="L30" s="9">
        <f>K30/$K$15</f>
        <v>2.7817148649741E-2</v>
      </c>
      <c r="M30" s="11">
        <f>+$C$30*M11</f>
        <v>129823.2</v>
      </c>
      <c r="N30" s="9">
        <f>M30/$M$15</f>
        <v>2.7856126716289488E-2</v>
      </c>
      <c r="O30" s="11">
        <f>+$C$30*O11</f>
        <v>132319.79999999999</v>
      </c>
      <c r="P30" s="9">
        <f>O30/$M$15</f>
        <v>2.8391821460833515E-2</v>
      </c>
      <c r="Q30" s="11">
        <f>+$C$30*Q11</f>
        <v>134816.4</v>
      </c>
      <c r="R30" s="9">
        <f>Q30/$M$15</f>
        <v>2.8927516205377545E-2</v>
      </c>
      <c r="S30" s="11">
        <f>+$C$30*S11</f>
        <v>137313</v>
      </c>
      <c r="T30" s="9">
        <f>S30/$M$15</f>
        <v>2.9463210949921576E-2</v>
      </c>
      <c r="U30" s="11">
        <f>+$C$30*U11</f>
        <v>143554.5</v>
      </c>
      <c r="V30" s="9">
        <f>U30/$M$15</f>
        <v>3.0802447811281646E-2</v>
      </c>
      <c r="W30" s="11">
        <f>+$C$30*W11</f>
        <v>149796</v>
      </c>
    </row>
    <row r="31" spans="2:23">
      <c r="C31" s="9"/>
      <c r="D31" s="11"/>
      <c r="E31" s="11"/>
      <c r="F31" s="9"/>
      <c r="G31" s="11"/>
      <c r="H31" s="9"/>
      <c r="I31" s="11"/>
      <c r="J31" s="9"/>
      <c r="K31" s="11"/>
      <c r="L31" s="9"/>
      <c r="M31" s="11"/>
      <c r="N31" s="9"/>
      <c r="O31" s="11"/>
      <c r="P31" s="9"/>
      <c r="Q31" s="11"/>
      <c r="R31" s="9"/>
      <c r="S31" s="11"/>
      <c r="T31" s="9"/>
      <c r="U31" s="11"/>
      <c r="V31" s="9"/>
      <c r="W31" s="11"/>
    </row>
    <row r="32" spans="2:23">
      <c r="B32" s="8" t="s">
        <v>36</v>
      </c>
      <c r="C32" s="11"/>
      <c r="D32" s="11"/>
      <c r="E32" s="11"/>
      <c r="F32" s="9"/>
      <c r="G32" s="11"/>
      <c r="H32" s="9"/>
      <c r="I32" s="11"/>
      <c r="J32" s="9"/>
      <c r="K32" s="11"/>
      <c r="L32" s="9"/>
      <c r="M32" s="11"/>
      <c r="N32" s="9"/>
      <c r="O32" s="11"/>
      <c r="P32" s="9"/>
      <c r="Q32" s="11"/>
      <c r="R32" s="9"/>
      <c r="S32" s="11"/>
      <c r="T32" s="9"/>
      <c r="U32" s="11"/>
      <c r="V32" s="9"/>
      <c r="W32" s="11"/>
    </row>
    <row r="33" spans="1:23">
      <c r="A33" s="20">
        <v>10</v>
      </c>
      <c r="B33" s="1" t="s">
        <v>0</v>
      </c>
      <c r="C33" s="11">
        <v>750</v>
      </c>
      <c r="D33" s="11"/>
      <c r="E33" s="11">
        <f>+$C$33*$A$33*10</f>
        <v>75000</v>
      </c>
      <c r="F33" s="9">
        <f t="shared" ref="F33:F41" si="21">E33/$E$15</f>
        <v>1.8682555972937696E-2</v>
      </c>
      <c r="G33" s="11">
        <f>+$C$33*$A$33*10</f>
        <v>75000</v>
      </c>
      <c r="H33" s="9">
        <f t="shared" ref="H33:H42" si="22">G33/$G$15</f>
        <v>1.7313059356092696E-2</v>
      </c>
      <c r="I33" s="11">
        <f>+$C$33*$A$33*10</f>
        <v>75000</v>
      </c>
      <c r="J33" s="9">
        <f t="shared" ref="J33:J42" si="23">I33/$I$15</f>
        <v>1.6100294098705538E-2</v>
      </c>
      <c r="K33" s="11">
        <f>+$C$33*$A$33*10</f>
        <v>75000</v>
      </c>
      <c r="L33" s="9">
        <f t="shared" ref="L33:L42" si="24">K33/$K$15</f>
        <v>1.6385312642688766E-2</v>
      </c>
      <c r="M33" s="11">
        <f>+$C$33*$A$33*10</f>
        <v>75000</v>
      </c>
      <c r="N33" s="9">
        <f t="shared" ref="N33:N42" si="25">M33/$M$15</f>
        <v>1.6092728447008792E-2</v>
      </c>
      <c r="O33" s="11">
        <f>+$C$33*$A$33*10</f>
        <v>75000</v>
      </c>
      <c r="P33" s="9">
        <f t="shared" ref="P33:P42" si="26">O33/$M$15</f>
        <v>1.6092728447008792E-2</v>
      </c>
      <c r="Q33" s="11">
        <f>+$C$33*$A$33*10</f>
        <v>75000</v>
      </c>
      <c r="R33" s="9">
        <f t="shared" ref="R33:R42" si="27">Q33/$M$15</f>
        <v>1.6092728447008792E-2</v>
      </c>
      <c r="S33" s="11">
        <f>+$C$33*$A$33*10</f>
        <v>75000</v>
      </c>
      <c r="T33" s="9">
        <f t="shared" ref="T33:T42" si="28">S33/$M$15</f>
        <v>1.6092728447008792E-2</v>
      </c>
      <c r="U33" s="11">
        <f>+$C$33*$A$33*10</f>
        <v>75000</v>
      </c>
      <c r="V33" s="9">
        <f t="shared" ref="V33:V42" si="29">U33/$M$15</f>
        <v>1.6092728447008792E-2</v>
      </c>
      <c r="W33" s="11">
        <f>+$C$33*$A$33*10</f>
        <v>75000</v>
      </c>
    </row>
    <row r="34" spans="1:23">
      <c r="B34" s="1" t="s">
        <v>18</v>
      </c>
      <c r="C34" s="11">
        <v>1000</v>
      </c>
      <c r="D34" s="11"/>
      <c r="E34" s="11">
        <f>+$C$34*12</f>
        <v>12000</v>
      </c>
      <c r="F34" s="9">
        <f t="shared" si="21"/>
        <v>2.9892089556700311E-3</v>
      </c>
      <c r="G34" s="11">
        <f>+$C$34*12</f>
        <v>12000</v>
      </c>
      <c r="H34" s="9">
        <f t="shared" si="22"/>
        <v>2.7700894969748314E-3</v>
      </c>
      <c r="I34" s="11">
        <f>+$C$34*12</f>
        <v>12000</v>
      </c>
      <c r="J34" s="9">
        <f t="shared" si="23"/>
        <v>2.5760470557928856E-3</v>
      </c>
      <c r="K34" s="11">
        <f>+$C$34*12</f>
        <v>12000</v>
      </c>
      <c r="L34" s="9">
        <f t="shared" si="24"/>
        <v>2.6216500228302022E-3</v>
      </c>
      <c r="M34" s="11">
        <f>+$C$34*12</f>
        <v>12000</v>
      </c>
      <c r="N34" s="9">
        <f t="shared" si="25"/>
        <v>2.5748365515214067E-3</v>
      </c>
      <c r="O34" s="11">
        <f>+$C$34*12</f>
        <v>12000</v>
      </c>
      <c r="P34" s="9">
        <f t="shared" si="26"/>
        <v>2.5748365515214067E-3</v>
      </c>
      <c r="Q34" s="11">
        <f>+$C$34*12</f>
        <v>12000</v>
      </c>
      <c r="R34" s="9">
        <f t="shared" si="27"/>
        <v>2.5748365515214067E-3</v>
      </c>
      <c r="S34" s="11">
        <f>+$C$34*12</f>
        <v>12000</v>
      </c>
      <c r="T34" s="9">
        <f t="shared" si="28"/>
        <v>2.5748365515214067E-3</v>
      </c>
      <c r="U34" s="11">
        <f>+$C$34*12</f>
        <v>12000</v>
      </c>
      <c r="V34" s="9">
        <f t="shared" si="29"/>
        <v>2.5748365515214067E-3</v>
      </c>
      <c r="W34" s="11">
        <f>+$C$34*12</f>
        <v>12000</v>
      </c>
    </row>
    <row r="35" spans="1:23">
      <c r="B35" s="16" t="s">
        <v>51</v>
      </c>
      <c r="C35" s="11">
        <v>5000</v>
      </c>
      <c r="D35" s="11"/>
      <c r="E35" s="11">
        <f>C35*12</f>
        <v>60000</v>
      </c>
      <c r="F35" s="9">
        <f t="shared" si="21"/>
        <v>1.4946044778350156E-2</v>
      </c>
      <c r="G35" s="11">
        <f>+E35</f>
        <v>60000</v>
      </c>
      <c r="H35" s="9">
        <f t="shared" si="22"/>
        <v>1.3850447484874157E-2</v>
      </c>
      <c r="I35" s="11">
        <f>+G35</f>
        <v>60000</v>
      </c>
      <c r="J35" s="9">
        <f t="shared" si="23"/>
        <v>1.2880235278964428E-2</v>
      </c>
      <c r="K35" s="11">
        <f>+I35</f>
        <v>60000</v>
      </c>
      <c r="L35" s="9">
        <f t="shared" si="24"/>
        <v>1.3108250114151012E-2</v>
      </c>
      <c r="M35" s="11">
        <f>+K35</f>
        <v>60000</v>
      </c>
      <c r="N35" s="9">
        <f t="shared" si="25"/>
        <v>1.2874182757607032E-2</v>
      </c>
      <c r="O35" s="11">
        <f>+M35</f>
        <v>60000</v>
      </c>
      <c r="P35" s="9">
        <f t="shared" si="26"/>
        <v>1.2874182757607032E-2</v>
      </c>
      <c r="Q35" s="11">
        <f>+O35</f>
        <v>60000</v>
      </c>
      <c r="R35" s="9">
        <f t="shared" si="27"/>
        <v>1.2874182757607032E-2</v>
      </c>
      <c r="S35" s="11">
        <f>+Q35</f>
        <v>60000</v>
      </c>
      <c r="T35" s="9">
        <f t="shared" si="28"/>
        <v>1.2874182757607032E-2</v>
      </c>
      <c r="U35" s="11">
        <f>+S35</f>
        <v>60000</v>
      </c>
      <c r="V35" s="9">
        <f t="shared" si="29"/>
        <v>1.2874182757607032E-2</v>
      </c>
      <c r="W35" s="11">
        <f>+U35</f>
        <v>60000</v>
      </c>
    </row>
    <row r="36" spans="1:23">
      <c r="B36" s="1" t="s">
        <v>31</v>
      </c>
      <c r="C36" s="11">
        <v>2500</v>
      </c>
      <c r="D36" s="11"/>
      <c r="E36" s="11">
        <f>C36*12</f>
        <v>30000</v>
      </c>
      <c r="F36" s="9">
        <f t="shared" si="21"/>
        <v>7.4730223891750778E-3</v>
      </c>
      <c r="G36" s="11">
        <f>$C$36*12</f>
        <v>30000</v>
      </c>
      <c r="H36" s="9">
        <f t="shared" si="22"/>
        <v>6.9252237424370783E-3</v>
      </c>
      <c r="I36" s="11">
        <f t="shared" ref="I36:W36" si="30">$C$36*12</f>
        <v>30000</v>
      </c>
      <c r="J36" s="9">
        <f t="shared" si="23"/>
        <v>6.4401176394822141E-3</v>
      </c>
      <c r="K36" s="11">
        <f t="shared" si="30"/>
        <v>30000</v>
      </c>
      <c r="L36" s="9">
        <f t="shared" si="24"/>
        <v>6.5541250570755058E-3</v>
      </c>
      <c r="M36" s="11">
        <f t="shared" si="30"/>
        <v>30000</v>
      </c>
      <c r="N36" s="9">
        <f t="shared" si="25"/>
        <v>6.4370913788035162E-3</v>
      </c>
      <c r="O36" s="11">
        <f t="shared" si="30"/>
        <v>30000</v>
      </c>
      <c r="P36" s="9">
        <f t="shared" si="26"/>
        <v>6.4370913788035162E-3</v>
      </c>
      <c r="Q36" s="11">
        <f t="shared" si="30"/>
        <v>30000</v>
      </c>
      <c r="R36" s="9">
        <f t="shared" si="27"/>
        <v>6.4370913788035162E-3</v>
      </c>
      <c r="S36" s="11">
        <f t="shared" si="30"/>
        <v>30000</v>
      </c>
      <c r="T36" s="9">
        <f t="shared" si="28"/>
        <v>6.4370913788035162E-3</v>
      </c>
      <c r="U36" s="11">
        <f t="shared" si="30"/>
        <v>30000</v>
      </c>
      <c r="V36" s="9">
        <f t="shared" si="29"/>
        <v>6.4370913788035162E-3</v>
      </c>
      <c r="W36" s="11">
        <f t="shared" si="30"/>
        <v>30000</v>
      </c>
    </row>
    <row r="37" spans="1:23">
      <c r="B37" s="1" t="s">
        <v>19</v>
      </c>
      <c r="C37" s="11">
        <v>300</v>
      </c>
      <c r="D37" s="11"/>
      <c r="E37" s="11">
        <f>+$C$37*12</f>
        <v>3600</v>
      </c>
      <c r="F37" s="9">
        <f t="shared" si="21"/>
        <v>8.9676268670100937E-4</v>
      </c>
      <c r="G37" s="11">
        <f>+$C$37*12</f>
        <v>3600</v>
      </c>
      <c r="H37" s="9">
        <f t="shared" si="22"/>
        <v>8.3102684909244946E-4</v>
      </c>
      <c r="I37" s="11">
        <f>+$C$37*12</f>
        <v>3600</v>
      </c>
      <c r="J37" s="9">
        <f t="shared" si="23"/>
        <v>7.7281411673786572E-4</v>
      </c>
      <c r="K37" s="11">
        <f>+$C$37*12</f>
        <v>3600</v>
      </c>
      <c r="L37" s="9">
        <f t="shared" si="24"/>
        <v>7.8649500684906072E-4</v>
      </c>
      <c r="M37" s="11">
        <f>+$C$37*12</f>
        <v>3600</v>
      </c>
      <c r="N37" s="9">
        <f t="shared" si="25"/>
        <v>7.7245096545642199E-4</v>
      </c>
      <c r="O37" s="11">
        <f>+$C$37*12</f>
        <v>3600</v>
      </c>
      <c r="P37" s="9">
        <f t="shared" si="26"/>
        <v>7.7245096545642199E-4</v>
      </c>
      <c r="Q37" s="11">
        <f>+$C$37*12</f>
        <v>3600</v>
      </c>
      <c r="R37" s="9">
        <f t="shared" si="27"/>
        <v>7.7245096545642199E-4</v>
      </c>
      <c r="S37" s="11">
        <f>+$C$37*12</f>
        <v>3600</v>
      </c>
      <c r="T37" s="9">
        <f t="shared" si="28"/>
        <v>7.7245096545642199E-4</v>
      </c>
      <c r="U37" s="11">
        <f>+$C$37*12</f>
        <v>3600</v>
      </c>
      <c r="V37" s="9">
        <f t="shared" si="29"/>
        <v>7.7245096545642199E-4</v>
      </c>
      <c r="W37" s="11">
        <f>+$C$37*12</f>
        <v>3600</v>
      </c>
    </row>
    <row r="38" spans="1:23">
      <c r="B38" s="1" t="s">
        <v>32</v>
      </c>
      <c r="C38" s="11">
        <v>750</v>
      </c>
      <c r="D38" s="14"/>
      <c r="E38" s="11">
        <f>+$C$38*12</f>
        <v>9000</v>
      </c>
      <c r="F38" s="9">
        <f t="shared" si="21"/>
        <v>2.2419067167525233E-3</v>
      </c>
      <c r="G38" s="11">
        <f>+$C$38*12</f>
        <v>9000</v>
      </c>
      <c r="H38" s="9">
        <f t="shared" si="22"/>
        <v>2.0775671227311237E-3</v>
      </c>
      <c r="I38" s="11">
        <f>+$C$38*12</f>
        <v>9000</v>
      </c>
      <c r="J38" s="9">
        <f t="shared" si="23"/>
        <v>1.9320352918446645E-3</v>
      </c>
      <c r="K38" s="11">
        <f>+$C$38*12</f>
        <v>9000</v>
      </c>
      <c r="L38" s="9">
        <f t="shared" si="24"/>
        <v>1.9662375171226516E-3</v>
      </c>
      <c r="M38" s="11">
        <f>+$C$38*12</f>
        <v>9000</v>
      </c>
      <c r="N38" s="9">
        <f t="shared" si="25"/>
        <v>1.9311274136410549E-3</v>
      </c>
      <c r="O38" s="11">
        <f>+$C$38*12</f>
        <v>9000</v>
      </c>
      <c r="P38" s="9">
        <f t="shared" si="26"/>
        <v>1.9311274136410549E-3</v>
      </c>
      <c r="Q38" s="11">
        <f>+$C$38*12</f>
        <v>9000</v>
      </c>
      <c r="R38" s="9">
        <f t="shared" si="27"/>
        <v>1.9311274136410549E-3</v>
      </c>
      <c r="S38" s="11">
        <f>+$C$38*12</f>
        <v>9000</v>
      </c>
      <c r="T38" s="9">
        <f t="shared" si="28"/>
        <v>1.9311274136410549E-3</v>
      </c>
      <c r="U38" s="11">
        <f>+$C$38*12</f>
        <v>9000</v>
      </c>
      <c r="V38" s="9">
        <f t="shared" si="29"/>
        <v>1.9311274136410549E-3</v>
      </c>
      <c r="W38" s="11">
        <f>+$C$38*12</f>
        <v>9000</v>
      </c>
    </row>
    <row r="39" spans="1:23">
      <c r="B39" s="1" t="s">
        <v>1</v>
      </c>
      <c r="C39" s="11">
        <v>40000</v>
      </c>
      <c r="D39" s="11"/>
      <c r="E39" s="11">
        <f>+C39</f>
        <v>40000</v>
      </c>
      <c r="F39" s="9">
        <f t="shared" si="21"/>
        <v>9.9640298522334376E-3</v>
      </c>
      <c r="G39" s="11">
        <f>+E39</f>
        <v>40000</v>
      </c>
      <c r="H39" s="9">
        <f t="shared" si="22"/>
        <v>9.2336316565827716E-3</v>
      </c>
      <c r="I39" s="11">
        <f>+G39</f>
        <v>40000</v>
      </c>
      <c r="J39" s="9">
        <f t="shared" si="23"/>
        <v>8.58682351930962E-3</v>
      </c>
      <c r="K39" s="11">
        <f>+I39</f>
        <v>40000</v>
      </c>
      <c r="L39" s="9">
        <f t="shared" si="24"/>
        <v>8.7388334094340072E-3</v>
      </c>
      <c r="M39" s="11">
        <f>+K39</f>
        <v>40000</v>
      </c>
      <c r="N39" s="9">
        <f t="shared" si="25"/>
        <v>8.5827885050713554E-3</v>
      </c>
      <c r="O39" s="11">
        <f>+M39</f>
        <v>40000</v>
      </c>
      <c r="P39" s="9">
        <f t="shared" si="26"/>
        <v>8.5827885050713554E-3</v>
      </c>
      <c r="Q39" s="11">
        <f>+O39</f>
        <v>40000</v>
      </c>
      <c r="R39" s="9">
        <f t="shared" si="27"/>
        <v>8.5827885050713554E-3</v>
      </c>
      <c r="S39" s="11">
        <f>+Q39</f>
        <v>40000</v>
      </c>
      <c r="T39" s="9">
        <f t="shared" si="28"/>
        <v>8.5827885050713554E-3</v>
      </c>
      <c r="U39" s="11">
        <f>+S39</f>
        <v>40000</v>
      </c>
      <c r="V39" s="9">
        <f t="shared" si="29"/>
        <v>8.5827885050713554E-3</v>
      </c>
      <c r="W39" s="11">
        <f>+U39</f>
        <v>40000</v>
      </c>
    </row>
    <row r="40" spans="1:23">
      <c r="B40" s="1" t="s">
        <v>17</v>
      </c>
      <c r="C40" s="11">
        <v>30</v>
      </c>
      <c r="D40" s="11"/>
      <c r="E40" s="11">
        <f>+$C$40*12</f>
        <v>360</v>
      </c>
      <c r="F40" s="9">
        <f t="shared" si="21"/>
        <v>8.9676268670100937E-5</v>
      </c>
      <c r="G40" s="11">
        <f>+$C$40*12</f>
        <v>360</v>
      </c>
      <c r="H40" s="9">
        <f t="shared" si="22"/>
        <v>8.3102684909244938E-5</v>
      </c>
      <c r="I40" s="11">
        <f>+$C$40*12</f>
        <v>360</v>
      </c>
      <c r="J40" s="9">
        <f t="shared" si="23"/>
        <v>7.728141167378658E-5</v>
      </c>
      <c r="K40" s="11">
        <f>+$C$40*12</f>
        <v>360</v>
      </c>
      <c r="L40" s="9">
        <f t="shared" si="24"/>
        <v>7.8649500684906064E-5</v>
      </c>
      <c r="M40" s="11">
        <f>+$C$40*12</f>
        <v>360</v>
      </c>
      <c r="N40" s="9">
        <f t="shared" si="25"/>
        <v>7.7245096545642191E-5</v>
      </c>
      <c r="O40" s="11">
        <f>+$C$40*12</f>
        <v>360</v>
      </c>
      <c r="P40" s="9">
        <f t="shared" si="26"/>
        <v>7.7245096545642191E-5</v>
      </c>
      <c r="Q40" s="11">
        <f>+$C$40*12</f>
        <v>360</v>
      </c>
      <c r="R40" s="9">
        <f t="shared" si="27"/>
        <v>7.7245096545642191E-5</v>
      </c>
      <c r="S40" s="11">
        <f>+$C$40*12</f>
        <v>360</v>
      </c>
      <c r="T40" s="9">
        <f t="shared" si="28"/>
        <v>7.7245096545642191E-5</v>
      </c>
      <c r="U40" s="11">
        <f>+$C$40*12</f>
        <v>360</v>
      </c>
      <c r="V40" s="9">
        <f t="shared" si="29"/>
        <v>7.7245096545642191E-5</v>
      </c>
      <c r="W40" s="11">
        <f>+$C$40*12</f>
        <v>360</v>
      </c>
    </row>
    <row r="41" spans="1:23">
      <c r="B41" s="1" t="s">
        <v>16</v>
      </c>
      <c r="C41" s="11">
        <v>900</v>
      </c>
      <c r="D41" s="11"/>
      <c r="E41" s="11">
        <f>+$C$41*12</f>
        <v>10800</v>
      </c>
      <c r="F41" s="9">
        <f t="shared" si="21"/>
        <v>2.6902880601030279E-3</v>
      </c>
      <c r="G41" s="11">
        <f>+$C$41*12</f>
        <v>10800</v>
      </c>
      <c r="H41" s="9">
        <f t="shared" si="22"/>
        <v>2.4930805472773484E-3</v>
      </c>
      <c r="I41" s="11">
        <f>+$C$41*12</f>
        <v>10800</v>
      </c>
      <c r="J41" s="9">
        <f t="shared" si="23"/>
        <v>2.3184423502135973E-3</v>
      </c>
      <c r="K41" s="11">
        <f>+$C$41*12</f>
        <v>10800</v>
      </c>
      <c r="L41" s="9">
        <f t="shared" si="24"/>
        <v>2.3594850205471822E-3</v>
      </c>
      <c r="M41" s="11">
        <f>+$C$41*12</f>
        <v>10800</v>
      </c>
      <c r="N41" s="9">
        <f t="shared" si="25"/>
        <v>2.3173528963692661E-3</v>
      </c>
      <c r="O41" s="11">
        <f>+$C$41*12</f>
        <v>10800</v>
      </c>
      <c r="P41" s="9">
        <f t="shared" si="26"/>
        <v>2.3173528963692661E-3</v>
      </c>
      <c r="Q41" s="11">
        <f>+$C$41*12</f>
        <v>10800</v>
      </c>
      <c r="R41" s="9">
        <f t="shared" si="27"/>
        <v>2.3173528963692661E-3</v>
      </c>
      <c r="S41" s="11">
        <f>+$C$41*12</f>
        <v>10800</v>
      </c>
      <c r="T41" s="9">
        <f t="shared" si="28"/>
        <v>2.3173528963692661E-3</v>
      </c>
      <c r="U41" s="11">
        <f>+$C$41*12</f>
        <v>10800</v>
      </c>
      <c r="V41" s="9">
        <f t="shared" si="29"/>
        <v>2.3173528963692661E-3</v>
      </c>
      <c r="W41" s="11">
        <f>+$C$41*12</f>
        <v>10800</v>
      </c>
    </row>
    <row r="42" spans="1:23">
      <c r="B42" s="1" t="s">
        <v>39</v>
      </c>
      <c r="C42" s="11">
        <v>15000</v>
      </c>
      <c r="D42" s="11"/>
      <c r="E42" s="11">
        <f>C42</f>
        <v>15000</v>
      </c>
      <c r="F42" s="9">
        <f>E42/$E$15</f>
        <v>3.7365111945875389E-3</v>
      </c>
      <c r="G42" s="11">
        <f>C42</f>
        <v>15000</v>
      </c>
      <c r="H42" s="9">
        <f t="shared" si="22"/>
        <v>3.4626118712185391E-3</v>
      </c>
      <c r="I42" s="11">
        <f>C42</f>
        <v>15000</v>
      </c>
      <c r="J42" s="9">
        <f t="shared" si="23"/>
        <v>3.2200588197411071E-3</v>
      </c>
      <c r="K42" s="11">
        <f>C42</f>
        <v>15000</v>
      </c>
      <c r="L42" s="9">
        <f t="shared" si="24"/>
        <v>3.2770625285377529E-3</v>
      </c>
      <c r="M42" s="11">
        <f>C42</f>
        <v>15000</v>
      </c>
      <c r="N42" s="9">
        <f t="shared" si="25"/>
        <v>3.2185456894017581E-3</v>
      </c>
      <c r="O42" s="11">
        <f>E42</f>
        <v>15000</v>
      </c>
      <c r="P42" s="9">
        <f t="shared" si="26"/>
        <v>3.2185456894017581E-3</v>
      </c>
      <c r="Q42" s="11">
        <f>G42</f>
        <v>15000</v>
      </c>
      <c r="R42" s="9">
        <f t="shared" si="27"/>
        <v>3.2185456894017581E-3</v>
      </c>
      <c r="S42" s="11">
        <f>I42</f>
        <v>15000</v>
      </c>
      <c r="T42" s="9">
        <f t="shared" si="28"/>
        <v>3.2185456894017581E-3</v>
      </c>
      <c r="U42" s="11">
        <f>K42</f>
        <v>15000</v>
      </c>
      <c r="V42" s="9">
        <f t="shared" si="29"/>
        <v>3.2185456894017581E-3</v>
      </c>
      <c r="W42" s="11">
        <f>M42</f>
        <v>15000</v>
      </c>
    </row>
    <row r="43" spans="1:23">
      <c r="C43" s="11"/>
      <c r="D43" s="11"/>
      <c r="E43" s="11"/>
      <c r="F43" s="9"/>
      <c r="G43" s="11"/>
      <c r="H43" s="9"/>
      <c r="I43" s="11"/>
      <c r="J43" s="9"/>
      <c r="K43" s="11"/>
      <c r="L43" s="9"/>
      <c r="M43" s="11"/>
      <c r="N43" s="9"/>
      <c r="O43" s="11"/>
      <c r="P43" s="9"/>
      <c r="Q43" s="11"/>
      <c r="R43" s="9"/>
      <c r="S43" s="11"/>
      <c r="T43" s="9"/>
      <c r="U43" s="11"/>
      <c r="V43" s="9"/>
      <c r="W43" s="11"/>
    </row>
    <row r="44" spans="1:23" s="8" customFormat="1">
      <c r="B44" s="8" t="s">
        <v>37</v>
      </c>
      <c r="E44" s="8">
        <f>SUM(E20:E42)</f>
        <v>1460850</v>
      </c>
      <c r="F44" s="9">
        <f>E44/$E$15</f>
        <v>0.36389882524088041</v>
      </c>
      <c r="G44" s="8">
        <f>SUM(G20:G42)</f>
        <v>1543522.5</v>
      </c>
      <c r="H44" s="9">
        <f>G44/$G$15</f>
        <v>0.35630795546619454</v>
      </c>
      <c r="I44" s="8">
        <f>SUM(I20:I42)</f>
        <v>1627290</v>
      </c>
      <c r="J44" s="9">
        <f>I44/$I$15</f>
        <v>0.34933130111843375</v>
      </c>
      <c r="K44" s="8">
        <f>SUM(K20:K42)</f>
        <v>1504102.5</v>
      </c>
      <c r="L44" s="9">
        <f>K44/$K$15</f>
        <v>0.32860252945533036</v>
      </c>
      <c r="M44" s="8">
        <f>SUM(M20:M42)</f>
        <v>1514505</v>
      </c>
      <c r="N44" s="9">
        <f>M44/$M$15</f>
        <v>0.32496690262182731</v>
      </c>
      <c r="O44" s="8">
        <f>SUM(O20:O42)</f>
        <v>1524907.5</v>
      </c>
      <c r="P44" s="9">
        <f>O44/$M$15</f>
        <v>0.32719896405742743</v>
      </c>
      <c r="Q44" s="8">
        <f>SUM(Q20:Q42)</f>
        <v>1535310</v>
      </c>
      <c r="R44" s="9">
        <f>Q44/$M$15</f>
        <v>0.32943102549302755</v>
      </c>
      <c r="S44" s="8">
        <f>SUM(S20:S42)</f>
        <v>1545712.5</v>
      </c>
      <c r="T44" s="9">
        <f>S44/$M$15</f>
        <v>0.33166308692862767</v>
      </c>
      <c r="U44" s="8">
        <f>SUM(U20:U42)</f>
        <v>1571718.75</v>
      </c>
      <c r="V44" s="9">
        <f>U44/$M$15</f>
        <v>0.337243240517628</v>
      </c>
      <c r="W44" s="8">
        <f>SUM(W20:W42)</f>
        <v>1597725</v>
      </c>
    </row>
    <row r="45" spans="1:23" s="8" customFormat="1">
      <c r="B45" s="8" t="s">
        <v>38</v>
      </c>
      <c r="E45" s="8">
        <f>+E44/12</f>
        <v>121737.5</v>
      </c>
      <c r="F45" s="9">
        <f>E45/$E$15</f>
        <v>3.0324902103406701E-2</v>
      </c>
      <c r="G45" s="8">
        <f>+G44/12</f>
        <v>128626.875</v>
      </c>
      <c r="H45" s="9">
        <f t="shared" ref="H45" si="31">G45/$G$15</f>
        <v>2.9692329622182878E-2</v>
      </c>
      <c r="I45" s="8">
        <f>+I44/12</f>
        <v>135607.5</v>
      </c>
      <c r="J45" s="9">
        <f t="shared" ref="J45" si="32">I45/$I$15</f>
        <v>2.9110941759869481E-2</v>
      </c>
      <c r="K45" s="8">
        <f t="shared" ref="K45:O45" si="33">+K44/12</f>
        <v>125341.875</v>
      </c>
      <c r="L45" s="9">
        <f t="shared" ref="L45" si="34">K45/$K$15</f>
        <v>2.7383544121277529E-2</v>
      </c>
      <c r="M45" s="8">
        <f t="shared" si="33"/>
        <v>126208.75</v>
      </c>
      <c r="N45" s="9">
        <f>M45/$M$15</f>
        <v>2.7080575218485611E-2</v>
      </c>
      <c r="O45" s="8">
        <f t="shared" ref="O45:P45" si="35">+O44/12</f>
        <v>127075.625</v>
      </c>
      <c r="P45" s="9">
        <f>O45/$M$15</f>
        <v>2.7266580338118952E-2</v>
      </c>
      <c r="Q45" s="8">
        <f t="shared" ref="Q45:R45" si="36">+Q44/12</f>
        <v>127942.5</v>
      </c>
      <c r="R45" s="9">
        <f>Q45/$M$15</f>
        <v>2.7452585457752296E-2</v>
      </c>
      <c r="S45" s="8">
        <f t="shared" ref="S45:T45" si="37">+S44/12</f>
        <v>128809.375</v>
      </c>
      <c r="T45" s="9">
        <f>S45/$M$15</f>
        <v>2.763859057738564E-2</v>
      </c>
      <c r="U45" s="8">
        <f t="shared" ref="U45:V45" si="38">+U44/12</f>
        <v>130976.5625</v>
      </c>
      <c r="V45" s="9">
        <f>U45/$M$15</f>
        <v>2.8103603376468996E-2</v>
      </c>
      <c r="W45" s="8">
        <f t="shared" ref="W45" si="39">+W44/12</f>
        <v>133143.75</v>
      </c>
    </row>
    <row r="46" spans="1:23">
      <c r="F46" s="9"/>
      <c r="H46" s="9"/>
      <c r="J46" s="9"/>
      <c r="L46" s="9"/>
    </row>
    <row r="47" spans="1:23" s="8" customFormat="1">
      <c r="B47" s="8" t="s">
        <v>26</v>
      </c>
      <c r="E47" s="8">
        <f>+E15-E44</f>
        <v>2553590</v>
      </c>
      <c r="F47" s="15">
        <f t="shared" ref="F47:F50" si="40">E47/$E$15</f>
        <v>0.63610117475911954</v>
      </c>
      <c r="G47" s="8">
        <f>+G15-G44</f>
        <v>2788467.5</v>
      </c>
      <c r="H47" s="15">
        <f t="shared" ref="H47:H50" si="41">G47/$G$15</f>
        <v>0.64369204453380546</v>
      </c>
      <c r="I47" s="8">
        <f>+I15-I44</f>
        <v>3031010</v>
      </c>
      <c r="J47" s="15">
        <f>I47/$I$15</f>
        <v>0.6506686988815662</v>
      </c>
      <c r="K47" s="8">
        <f>+K15-K44</f>
        <v>3073167.5</v>
      </c>
      <c r="L47" s="15">
        <f>K47/$K$15</f>
        <v>0.67139747054466969</v>
      </c>
      <c r="M47" s="8">
        <f>+M15-M44</f>
        <v>3145985</v>
      </c>
      <c r="N47" s="15">
        <f t="shared" ref="N47:N50" si="42">M47/$M$15</f>
        <v>0.67503309737817263</v>
      </c>
      <c r="O47" s="8">
        <f>+O15-O44</f>
        <v>3218802.5</v>
      </c>
      <c r="P47" s="15">
        <f t="shared" ref="P47:P50" si="43">O47/$M$15</f>
        <v>0.69065752742737352</v>
      </c>
      <c r="Q47" s="8">
        <f>+Q15-Q44</f>
        <v>3291620</v>
      </c>
      <c r="R47" s="15">
        <f t="shared" ref="R47:R50" si="44">Q47/$M$15</f>
        <v>0.70628195747657441</v>
      </c>
      <c r="S47" s="8">
        <f>+S15-S44</f>
        <v>3364437.5</v>
      </c>
      <c r="T47" s="15">
        <f t="shared" ref="T47:T50" si="45">S47/$M$15</f>
        <v>0.72190638752577518</v>
      </c>
      <c r="U47" s="8">
        <f>+U15-U44</f>
        <v>3546481.25</v>
      </c>
      <c r="V47" s="15">
        <f t="shared" ref="V47:V50" si="46">U47/$M$15</f>
        <v>0.76096746264877724</v>
      </c>
      <c r="W47" s="8">
        <f>+W15-W44</f>
        <v>3728525</v>
      </c>
    </row>
    <row r="48" spans="1:23" s="8" customFormat="1">
      <c r="B48" s="8" t="s">
        <v>43</v>
      </c>
      <c r="C48" s="15">
        <v>0.05</v>
      </c>
      <c r="D48" s="13"/>
      <c r="E48" s="8">
        <f>E15*0.05</f>
        <v>200722</v>
      </c>
      <c r="F48" s="15">
        <v>0.05</v>
      </c>
      <c r="G48" s="8">
        <f>G15*0.05</f>
        <v>216599.5</v>
      </c>
      <c r="H48" s="15">
        <v>0.05</v>
      </c>
      <c r="I48" s="8">
        <f>I15*0.05</f>
        <v>232915</v>
      </c>
      <c r="J48" s="15">
        <v>0.05</v>
      </c>
      <c r="K48" s="8">
        <f>K15*0.05</f>
        <v>228863.5</v>
      </c>
      <c r="L48" s="15">
        <v>0.05</v>
      </c>
      <c r="M48" s="8">
        <f>M15*0.05</f>
        <v>233024.5</v>
      </c>
      <c r="N48" s="15">
        <v>0.05</v>
      </c>
      <c r="O48" s="8">
        <f>O15*0.05</f>
        <v>237185.5</v>
      </c>
      <c r="P48" s="15">
        <v>0.05</v>
      </c>
      <c r="Q48" s="8">
        <f>Q15*0.05</f>
        <v>241346.5</v>
      </c>
      <c r="R48" s="15">
        <v>0.05</v>
      </c>
      <c r="S48" s="8">
        <f>S15*0.05</f>
        <v>245507.5</v>
      </c>
      <c r="T48" s="15">
        <v>0.05</v>
      </c>
      <c r="U48" s="8">
        <f>U15*0.05</f>
        <v>255910</v>
      </c>
      <c r="V48" s="15">
        <v>0.05</v>
      </c>
      <c r="W48" s="8">
        <f>W15*0.05</f>
        <v>266312.5</v>
      </c>
    </row>
    <row r="49" spans="2:23" s="8" customFormat="1">
      <c r="B49" s="8" t="s">
        <v>49</v>
      </c>
      <c r="C49" s="15">
        <v>0.1</v>
      </c>
      <c r="D49" s="13"/>
      <c r="E49" s="8">
        <f>E47*0.1</f>
        <v>255359</v>
      </c>
      <c r="F49" s="15">
        <v>0.1</v>
      </c>
      <c r="G49" s="8">
        <f>G47*0.1</f>
        <v>278846.75</v>
      </c>
      <c r="H49" s="15">
        <v>0.1</v>
      </c>
      <c r="I49" s="8">
        <f>I47*0.1</f>
        <v>303101</v>
      </c>
      <c r="J49" s="15">
        <v>0.1</v>
      </c>
      <c r="K49" s="8">
        <f>K47*0.1</f>
        <v>307316.75</v>
      </c>
      <c r="L49" s="15">
        <v>0.1</v>
      </c>
      <c r="M49" s="8">
        <f>M47*0.1</f>
        <v>314598.5</v>
      </c>
      <c r="N49" s="15">
        <v>0.1</v>
      </c>
      <c r="O49" s="8">
        <f>O47*0.1</f>
        <v>321880.25</v>
      </c>
      <c r="P49" s="15">
        <v>0.1</v>
      </c>
      <c r="Q49" s="8">
        <f>Q47*0.1</f>
        <v>329162</v>
      </c>
      <c r="R49" s="15">
        <v>0.1</v>
      </c>
      <c r="S49" s="8">
        <f>S47*0.1</f>
        <v>336443.75</v>
      </c>
      <c r="T49" s="15">
        <v>0.1</v>
      </c>
      <c r="U49" s="8">
        <f>U47*0.1</f>
        <v>354648.125</v>
      </c>
      <c r="V49" s="15">
        <v>0.1</v>
      </c>
      <c r="W49" s="8">
        <f>W47*0.1</f>
        <v>372852.5</v>
      </c>
    </row>
    <row r="50" spans="2:23" s="8" customFormat="1">
      <c r="B50" s="8" t="s">
        <v>28</v>
      </c>
      <c r="E50" s="8">
        <f>E47-E48-E49</f>
        <v>2097509</v>
      </c>
      <c r="F50" s="15">
        <f t="shared" si="40"/>
        <v>0.52249105728320766</v>
      </c>
      <c r="G50" s="8">
        <f>G47-G48-G49</f>
        <v>2293021.25</v>
      </c>
      <c r="H50" s="15">
        <f t="shared" ref="H50" si="47">G50/$E$15</f>
        <v>0.57119330467014084</v>
      </c>
      <c r="I50" s="8">
        <f>I47-I48-I49</f>
        <v>2494994</v>
      </c>
      <c r="J50" s="15">
        <f t="shared" ref="J50" si="48">I50/$E$15</f>
        <v>0.6215048674285828</v>
      </c>
      <c r="K50" s="8">
        <f>K47-K48-K49</f>
        <v>2536987.25</v>
      </c>
      <c r="L50" s="15">
        <f t="shared" ref="L50" si="49">K50/$E$15</f>
        <v>0.6319654173433904</v>
      </c>
      <c r="M50" s="8">
        <f>M47-M48-M49</f>
        <v>2598362</v>
      </c>
      <c r="N50" s="15">
        <f t="shared" ref="N50" si="50">M50/$E$15</f>
        <v>0.64725391337272442</v>
      </c>
      <c r="O50" s="8">
        <f>O47-O48-O49</f>
        <v>2659736.75</v>
      </c>
      <c r="P50" s="15">
        <f t="shared" ref="P50" si="51">O50/$E$15</f>
        <v>0.66254240940205855</v>
      </c>
      <c r="Q50" s="8">
        <f>Q47-Q48-Q49</f>
        <v>2721111.5</v>
      </c>
      <c r="R50" s="15">
        <f t="shared" ref="R50" si="52">Q50/$E$15</f>
        <v>0.67783090543139268</v>
      </c>
      <c r="S50" s="8">
        <f>S47-S48-S49</f>
        <v>2782486.25</v>
      </c>
      <c r="T50" s="15">
        <f t="shared" ref="T50" si="53">S50/$E$15</f>
        <v>0.69311940146072681</v>
      </c>
      <c r="U50" s="8">
        <f>U47-U48-U49</f>
        <v>2935923.125</v>
      </c>
      <c r="V50" s="15">
        <f t="shared" ref="V50" si="54">U50/$E$15</f>
        <v>0.73134064153406209</v>
      </c>
      <c r="W50" s="8">
        <f>W47-W48-W49</f>
        <v>3089360</v>
      </c>
    </row>
    <row r="51" spans="2:23">
      <c r="B51" s="24" t="s">
        <v>52</v>
      </c>
      <c r="C51" s="25">
        <v>7200000</v>
      </c>
      <c r="W51" s="1" t="e">
        <f>#REF!+#REF!</f>
        <v>#REF!</v>
      </c>
    </row>
    <row r="52" spans="2:23">
      <c r="B52" s="24" t="s">
        <v>53</v>
      </c>
      <c r="C52" s="25" t="s">
        <v>57</v>
      </c>
    </row>
    <row r="53" spans="2:23">
      <c r="B53" s="24" t="s">
        <v>55</v>
      </c>
      <c r="C53" s="25">
        <f>M50*5</f>
        <v>12991810</v>
      </c>
      <c r="D53" s="3"/>
    </row>
    <row r="54" spans="2:23">
      <c r="B54" s="22" t="s">
        <v>56</v>
      </c>
      <c r="C54" s="23">
        <f>C53-C51</f>
        <v>5791810</v>
      </c>
    </row>
  </sheetData>
  <mergeCells count="1">
    <mergeCell ref="C13:D13"/>
  </mergeCells>
  <phoneticPr fontId="7" alignment="center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Explotación LOW </vt:lpstr>
      <vt:lpstr>Explotación HIGH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Torralba</dc:creator>
  <cp:lastModifiedBy>Luis García-Torremocha Checa</cp:lastModifiedBy>
  <dcterms:created xsi:type="dcterms:W3CDTF">2018-04-10T14:47:22Z</dcterms:created>
  <dcterms:modified xsi:type="dcterms:W3CDTF">2022-05-23T14:19:42Z</dcterms:modified>
</cp:coreProperties>
</file>